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11640" tabRatio="601" activeTab="0"/>
  </bookViews>
  <sheets>
    <sheet name="Προϋπηρεσία - Μ.Κ." sheetId="1" r:id="rId1"/>
  </sheets>
  <definedNames>
    <definedName name="_xlnm.Print_Area" localSheetId="0">'Προϋπηρεσία - Μ.Κ.'!$A$1:$AB$43</definedName>
  </definedNames>
  <calcPr fullCalcOnLoad="1"/>
</workbook>
</file>

<file path=xl/comments1.xml><?xml version="1.0" encoding="utf-8"?>
<comments xmlns="http://schemas.openxmlformats.org/spreadsheetml/2006/main">
  <authors>
    <author>2</author>
    <author>1grde</author>
  </authors>
  <commentList>
    <comment ref="A3" authorId="0">
      <text>
        <r>
          <rPr>
            <sz val="8"/>
            <rFont val="Tahoma"/>
            <family val="0"/>
          </rPr>
          <t xml:space="preserve">α/α βεβαίωσης προϋπηρεσίας με χρονολογική σειρά κατά σχολικό έτος
</t>
        </r>
      </text>
    </comment>
    <comment ref="B3" authorId="0">
      <text>
        <r>
          <rPr>
            <sz val="8"/>
            <rFont val="Tahoma"/>
            <family val="0"/>
          </rPr>
          <t xml:space="preserve">Σύνολο ωρών εργασίας ανά βεβαίωση προϋπηρεσίας
</t>
        </r>
      </text>
    </comment>
    <comment ref="C3" authorId="0">
      <text>
        <r>
          <rPr>
            <sz val="8"/>
            <rFont val="Tahoma"/>
            <family val="0"/>
          </rPr>
          <t xml:space="preserve">Υποχρεωτικό εβδομαδιαίο ωράριο ωρομισθίου: 24 ώρες Πρωτοβάθμια, 21 ώρες Δευτροβάθμια-ΙΕΚ
</t>
        </r>
      </text>
    </comment>
    <comment ref="E3" authorId="0">
      <text>
        <r>
          <rPr>
            <sz val="8"/>
            <rFont val="Tahoma"/>
            <family val="2"/>
          </rPr>
          <t>Αρχική ημερομηνία</t>
        </r>
      </text>
    </comment>
    <comment ref="D3" authorId="0">
      <text>
        <r>
          <rPr>
            <sz val="8"/>
            <rFont val="Tahoma"/>
            <family val="0"/>
          </rPr>
          <t xml:space="preserve">Υπολογισμός ημερών στις 300
</t>
        </r>
      </text>
    </comment>
    <comment ref="F3" authorId="0">
      <text>
        <r>
          <rPr>
            <sz val="8"/>
            <rFont val="Tahoma"/>
            <family val="2"/>
          </rPr>
          <t>Τελική Ημερομηνία</t>
        </r>
      </text>
    </comment>
    <comment ref="G3" authorId="0">
      <text>
        <r>
          <rPr>
            <sz val="8"/>
            <rFont val="Tahoma"/>
            <family val="2"/>
          </rPr>
          <t>Υπολογισμός ημερών στις 360</t>
        </r>
      </text>
    </comment>
    <comment ref="H3" authorId="0">
      <text>
        <r>
          <rPr>
            <sz val="8"/>
            <rFont val="Tahoma"/>
            <family val="2"/>
          </rPr>
          <t>Αρχική ημερομηνία</t>
        </r>
      </text>
    </comment>
    <comment ref="I3" authorId="0">
      <text>
        <r>
          <rPr>
            <sz val="8"/>
            <rFont val="Tahoma"/>
            <family val="2"/>
          </rPr>
          <t>Τελική ημερομηνία</t>
        </r>
      </text>
    </comment>
    <comment ref="K3" authorId="0">
      <text>
        <r>
          <rPr>
            <sz val="8"/>
            <rFont val="Tahoma"/>
            <family val="2"/>
          </rPr>
          <t>Το μειωμένο ωράριο εργασίας εφόσον είναι μικρότερο των 18 ωρών</t>
        </r>
      </text>
    </comment>
    <comment ref="L3" authorId="0">
      <text>
        <r>
          <rPr>
            <sz val="8"/>
            <rFont val="Tahoma"/>
            <family val="2"/>
          </rPr>
          <t>Υπολογισμός ημερών στις 300</t>
        </r>
      </text>
    </comment>
    <comment ref="B2" authorId="0">
      <text>
        <r>
          <rPr>
            <sz val="8"/>
            <rFont val="Tahoma"/>
            <family val="2"/>
          </rPr>
          <t>Ο ωρομίσθιος εργάζεται με μειωμένο ωράριο: 6 ημέρες την εβδομάδα, 25 ημέρες το μήνα, 300 ημέρες το χρόνο</t>
        </r>
      </text>
    </comment>
    <comment ref="H2" authorId="0">
      <text>
        <r>
          <rPr>
            <sz val="8"/>
            <rFont val="Tahoma"/>
            <family val="2"/>
          </rPr>
          <t>Με μειωμένο ωράριο εργασίας π.χ. ιδιωτική εκπαίδευση: 6 ημέρες την εβδομάδα, 25 ημέρες το μήνα, 300 ημέρες το χρόνο</t>
        </r>
      </text>
    </comment>
    <comment ref="E2" authorId="0">
      <text>
        <r>
          <rPr>
            <sz val="8"/>
            <rFont val="Tahoma"/>
            <family val="2"/>
          </rPr>
          <t>Ο αναπληρωτής ή εργασία με πλήρες ωράριο υπολογίζεται στις 360 ημέρες του έτους</t>
        </r>
      </text>
    </comment>
    <comment ref="F39" authorId="0">
      <text>
        <r>
          <rPr>
            <sz val="8"/>
            <rFont val="Tahoma"/>
            <family val="2"/>
          </rPr>
          <t>Είναι το ΑΚΕΡΑΙΟ άθροισμα (σύμφωνα με το παράδειγμα της διευκρινιστικής εγκυκλίου του Ν.3205/03) των ημερών του ωρομισθίου και της εργασίας με μειωμένο ωράριο.</t>
        </r>
      </text>
    </comment>
    <comment ref="U3" authorId="0">
      <text>
        <r>
          <rPr>
            <sz val="8"/>
            <rFont val="Tahoma"/>
            <family val="2"/>
          </rPr>
          <t>Ενδεικτικός ΥΠΟΛΟΓΙΣΜΟΣ των ημερών στο 30ήμερο όπως Ολοκληρωμένο Πληροφοριακό Σύστημα και E-data center</t>
        </r>
      </text>
    </comment>
    <comment ref="V3" authorId="0">
      <text>
        <r>
          <rPr>
            <sz val="8"/>
            <rFont val="Tahoma"/>
            <family val="2"/>
          </rPr>
          <t>Για έλεγχο υπερωριών εισάγουμε τον αριθμό "1" για κάθε βεβαίωση που αντιστοιχεί σε παράλληλα ημερολογικά διαστήματα. Για έλεγχο επόμενου διαστήματος σβήνουμε τις προηγούμενες ενδείξεις "1".</t>
        </r>
      </text>
    </comment>
    <comment ref="J3" authorId="0">
      <text>
        <r>
          <rPr>
            <sz val="8"/>
            <rFont val="Tahoma"/>
            <family val="2"/>
          </rPr>
          <t>Το υποχρεωτικό ωράριο: π.χ. στην ιδιωτική εκπαίδευση είναι 18 ώρες</t>
        </r>
      </text>
    </comment>
    <comment ref="M3" authorId="0">
      <text>
        <r>
          <rPr>
            <sz val="8"/>
            <rFont val="Tahoma"/>
            <family val="2"/>
          </rPr>
          <t>Υπολογισμός μηνών για μοριοδότηση μετάθεσης είτε βάσει του 25ήμερου είτε βάσει του 30ήμερου</t>
        </r>
      </text>
    </comment>
    <comment ref="U41" authorId="0">
      <text>
        <r>
          <rPr>
            <sz val="8"/>
            <rFont val="Tahoma"/>
            <family val="0"/>
          </rPr>
          <t xml:space="preserve">Ο αριθμός των ημερών που διαθέτει ο εκπαιδευτικός ως συνολική προϋπηρεσία για κατάταξη σε μισθολογικό κλιμάκιο με βάση τις 360 ημέρες
</t>
        </r>
      </text>
    </comment>
    <comment ref="Z9" authorId="0">
      <text>
        <r>
          <rPr>
            <sz val="8"/>
            <rFont val="Tahoma"/>
            <family val="2"/>
          </rPr>
          <t>ΑΠΑΡΑΙΤΗΤΑ στο κελί αυτό πρέπει να εισαχθεί η ημερομηνία του ΦΕΚ Διορισμού, ή η ημερομηνία διορισμού αναπληρωτή</t>
        </r>
      </text>
    </comment>
    <comment ref="Z10" authorId="0">
      <text>
        <r>
          <rPr>
            <sz val="8"/>
            <rFont val="Tahoma"/>
            <family val="2"/>
          </rPr>
          <t>Για εκπαιδευτικό με εισαγωγικό μισθολογικό κλιμάκιο 17ΠΕ17 εισάγετε το χαρακτήρα "1".</t>
        </r>
      </text>
    </comment>
    <comment ref="Z11" authorId="0">
      <text>
        <r>
          <rPr>
            <sz val="8"/>
            <rFont val="Tahoma"/>
            <family val="2"/>
          </rPr>
          <t>Για αναπληρωτή εισάγουμε την τελευταία ημερομηνία του σχολικού έτους 30/6 για να ελέγξουμε αν μέσα στη χρονιά αλλάζει ΜΚ</t>
        </r>
      </text>
    </comment>
    <comment ref="Z21" authorId="0">
      <text>
        <r>
          <rPr>
            <sz val="8"/>
            <rFont val="Tahoma"/>
            <family val="2"/>
          </rPr>
          <t>Με την εισαγωγή ημερομηνίας θα υπολογιστεί τη συνολική υπηρεσία μέχρι αυτή τη μέρα. Δίπλα θα υπολογιστεί το τρέχον ΜΚ 
και ημερομήνια που χορηγήθηκε</t>
        </r>
      </text>
    </comment>
    <comment ref="X40" authorId="0">
      <text>
        <r>
          <rPr>
            <sz val="8"/>
            <rFont val="Tahoma"/>
            <family val="2"/>
          </rPr>
          <t>ή αδικαιολόγητης αποχής που θα αφαιρεθούν από τη συνολική υπηρεσία</t>
        </r>
      </text>
    </comment>
    <comment ref="X29" authorId="0">
      <text>
        <r>
          <rPr>
            <sz val="8"/>
            <rFont val="Tahoma"/>
            <family val="2"/>
          </rPr>
          <t>Χρειάζεται κυρίως στην προϋπηρεσία στην ιδιωτική εκπαίδευση με μειωμένο ωράριο για να υπολογιστεί πλασματικός αριθμός ωρών και στη συνέχεια να υπολογιστεί με βάση τις 21 ώρες του νεοδιόριστου για τον υπολογισμό μορίων μετάθεσης και γενικότερα όπου χρειάζεται ο υπολογισμός αυτός.</t>
        </r>
      </text>
    </comment>
    <comment ref="U40" authorId="0">
      <text>
        <r>
          <rPr>
            <sz val="8"/>
            <rFont val="Tahoma"/>
            <family val="2"/>
          </rPr>
          <t>Μήνες στο 30ήμερο</t>
        </r>
      </text>
    </comment>
    <comment ref="V40" authorId="0">
      <text>
        <r>
          <rPr>
            <sz val="8"/>
            <rFont val="Tahoma"/>
            <family val="2"/>
          </rPr>
          <t>Μέρες στο 30ήμερο</t>
        </r>
      </text>
    </comment>
    <comment ref="U39" authorId="0">
      <text>
        <r>
          <rPr>
            <sz val="8"/>
            <rFont val="Tahoma"/>
            <family val="2"/>
          </rPr>
          <t>Το αποτέλεσμα στο 30ήμερο όπως ΟΠΣ εφόσον δεν έχει αποκόψει ώρες πάνω από 43,75 Βθμια και 50 Αθμια</t>
        </r>
      </text>
    </comment>
    <comment ref="X37" authorId="0">
      <text>
        <r>
          <rPr>
            <sz val="8"/>
            <rFont val="Tahoma"/>
            <family val="2"/>
          </rPr>
          <t>Αθροίζουμε από τις δύο στήλες (D,L) ωρομισθίου και μειωμένου ωραρίου τις μέρες που έχουν υπολογιστεί και δεν αποτελούν εκπαιδευτική υπηρεσία. Μπορεί να γραφτεί και σαν τύπος π.χ. =34,75+45,29+100+...</t>
        </r>
      </text>
    </comment>
    <comment ref="X39" authorId="0">
      <text>
        <r>
          <rPr>
            <sz val="8"/>
            <rFont val="Tahoma"/>
            <family val="2"/>
          </rPr>
          <t>Αθροίζουμε από τη στήλη των ημερών του πλήρους ωραρίου (στήλη G) (π.χ. Αναπληρωτής) τις μέρες που έχουν υπολογιστεί και δεν αποτελούν εκπαιδευτική υπηρεσία. Μπορεί να γραφτεί και σαν τύπος π.χ. =42+136+100+...</t>
        </r>
      </text>
    </comment>
    <comment ref="Y33" authorId="1">
      <text>
        <r>
          <rPr>
            <sz val="8"/>
            <rFont val="Tahoma"/>
            <family val="2"/>
          </rPr>
          <t>Ελέγχουμε εάν το διάστημα σε μέρες που έχει υπολογιστεί υπερβαίνει το διάστημα εργασίας σύμφωνα με την ημερομηνία ανάληψης υπηρεσίας και λήξης των βεβαιώσεων προϋπηρεσίας. Σε περίπτωση που τα παράλληλα διαστήματα είναι μικρότερα από το σύνολο του διαστήματος των βεβαιώσεων, βάζουμε αρχική-τελική ημερομηνία το παράλληλο διάστημα και μόνο τις ώρες από τις βεβαιώσεις στις τελευταίες γραμμές εισαγωγής ωρών, σαν βοηθητικά πλαίσια υπολογισμού των πιθανών υπερωριών.</t>
        </r>
      </text>
    </comment>
    <comment ref="V37" authorId="1">
      <text>
        <r>
          <rPr>
            <sz val="8"/>
            <rFont val="Tahoma"/>
            <family val="2"/>
          </rPr>
          <t>Η διαφορά σε μέρες ανάμεσα στο στο άθροισμα στο 30ήμερο και στον αριθμό των ημερών που λαμβάνονται υπόψιν για μισθολογική εξέλιξη.</t>
        </r>
      </text>
    </comment>
    <comment ref="AA35" authorId="1">
      <text>
        <r>
          <rPr>
            <sz val="8"/>
            <rFont val="Tahoma"/>
            <family val="2"/>
          </rPr>
          <t>Σε περίπτωση πλεονάσματος αφαιρούμε τόσες ώρες ή διάστημα εργασίας έτσι ώστε να μην υπάρχει πλέονασμα</t>
        </r>
      </text>
    </comment>
    <comment ref="Z36" authorId="1">
      <text>
        <r>
          <rPr>
            <sz val="8"/>
            <rFont val="Tahoma"/>
            <family val="2"/>
          </rPr>
          <t>Αν υπάρχει πλεόνασμα ημερών προκύπτει ο αριθμός των ωρών που πρέπει να αφαιρεθούν από ωρομίσθια εργασία - βεβαίωση με βάση το συγκεκριμένο ωράριο. Αν δεν είναι αρκετό από μία βεβαίωση σημαίνει ότι δεν αναγνωρίζεται καθόλου και αποκόπτουμε ώρες από επόμενη βεβαίωση.</t>
        </r>
      </text>
    </comment>
    <comment ref="U37" authorId="1">
      <text>
        <r>
          <rPr>
            <sz val="8"/>
            <rFont val="Tahoma"/>
            <family val="2"/>
          </rPr>
          <t>Άθροισμα των παραπάνω ημερών που ταυτίζεται με τον υπολογισμό του E-data Center στη συνολική υπηρεσία των μεταθέσεων</t>
        </r>
      </text>
    </comment>
    <comment ref="AA11" authorId="1">
      <text>
        <r>
          <rPr>
            <sz val="8"/>
            <rFont val="Tahoma"/>
            <family val="2"/>
          </rPr>
          <t>Η ημερομηνίες των βαθμών είναι ενδεικτικές και υπολογίζονται για έναν από τους 2 τίτλους. Δεν λαμβάνεται υπόψιν η τυχόν μεγάλη διαφορά ημερομηνιών κτήσης - κατάθεσης τίτλου στην υπηρεσία. Αν η κατάθεση γίνει μετά τη χορήγηση βαθμού, ενώ η ημερομηνία δικαιολογεί μείωση, μειώνεται αναδρομικά στον τελευταίο βαθμό, δηλαδή στον Α'. π.χ. ΦΕΚ 1/9/2000, κτήση 15/4/1996 και κατάθεση μετά τον Β'(1/9/2002) στις 20/10/2003. Θα υπολογιστεί πλασματικά η ημ/νία του Β' (1/9/2001) αλλά ο Α' θα αποδοθεί κανονικά 1/9/2006.</t>
        </r>
      </text>
    </comment>
    <comment ref="AA10" authorId="1">
      <text>
        <r>
          <rPr>
            <sz val="8"/>
            <rFont val="Tahoma"/>
            <family val="2"/>
          </rPr>
          <t>Για Μεταπτυχιακό εισάγω "1", για Διδακτορικό εισάγω "2".</t>
        </r>
      </text>
    </comment>
  </commentList>
</comments>
</file>

<file path=xl/sharedStrings.xml><?xml version="1.0" encoding="utf-8"?>
<sst xmlns="http://schemas.openxmlformats.org/spreadsheetml/2006/main" count="84" uniqueCount="65">
  <si>
    <t>Ώρες</t>
  </si>
  <si>
    <t>Ωράριο</t>
  </si>
  <si>
    <t>Μέρες</t>
  </si>
  <si>
    <t>Από</t>
  </si>
  <si>
    <t>Έως</t>
  </si>
  <si>
    <t xml:space="preserve">Από </t>
  </si>
  <si>
    <t>είναι</t>
  </si>
  <si>
    <t>μέρες</t>
  </si>
  <si>
    <t>μήνες</t>
  </si>
  <si>
    <t>Μειωμ. Ωράριο</t>
  </si>
  <si>
    <t>Υποχρ. Ωράριο</t>
  </si>
  <si>
    <t>α/α Βεβαίωσης</t>
  </si>
  <si>
    <t>Μήνες</t>
  </si>
  <si>
    <t xml:space="preserve">Σύνολο    </t>
  </si>
  <si>
    <t>ΦΕΚ Διορισμού</t>
  </si>
  <si>
    <t>Προϋπηρεσία</t>
  </si>
  <si>
    <t>Επώνυμο</t>
  </si>
  <si>
    <t>Όνομα</t>
  </si>
  <si>
    <t>Πατρώνυμο</t>
  </si>
  <si>
    <t>Α.Φ.Μ.</t>
  </si>
  <si>
    <t>Κλάδος</t>
  </si>
  <si>
    <t>Μητρώνυμο</t>
  </si>
  <si>
    <t>Εκπαιδευτικός με ΜΚ ΠΕ17</t>
  </si>
  <si>
    <t>Υπολογισμός ωρών με μειωμένο ωράριο</t>
  </si>
  <si>
    <t>Αρχική ημερομηνία</t>
  </si>
  <si>
    <t>Τελική ημερομηνία</t>
  </si>
  <si>
    <t>Εβδομαδιαίο ωράριο</t>
  </si>
  <si>
    <t>Σύνολο ωρών</t>
  </si>
  <si>
    <t>Στο 30ήμερο</t>
  </si>
  <si>
    <t>Οργανική Θέση</t>
  </si>
  <si>
    <t xml:space="preserve">  μέρες</t>
  </si>
  <si>
    <t xml:space="preserve">  ή</t>
  </si>
  <si>
    <t>Μειμ. ωρ. - Ωρομίσθιος</t>
  </si>
  <si>
    <t>Πλήρ. ωράριο - Αναπληρωτής</t>
  </si>
  <si>
    <t>Μειωμένο ωράριο - Ιδιωτ. Εκπαίδευση - ΑΕΙ</t>
  </si>
  <si>
    <t>Η συνολική προϋπηρεσία για χορήγηση ΜΚ είναι</t>
  </si>
  <si>
    <t>Τηλέφωνο</t>
  </si>
  <si>
    <r>
      <t xml:space="preserve">Ημέρες </t>
    </r>
    <r>
      <rPr>
        <b/>
        <sz val="8"/>
        <rFont val="Cambria"/>
        <family val="1"/>
      </rPr>
      <t>μη</t>
    </r>
    <r>
      <rPr>
        <sz val="8"/>
        <rFont val="Cambria"/>
        <family val="1"/>
      </rPr>
      <t xml:space="preserve"> εκπαιδευτικής προϋπηρεσίας με </t>
    </r>
    <r>
      <rPr>
        <b/>
        <sz val="8"/>
        <rFont val="Cambria"/>
        <family val="1"/>
      </rPr>
      <t>μειωμένο</t>
    </r>
    <r>
      <rPr>
        <sz val="8"/>
        <rFont val="Cambria"/>
        <family val="1"/>
      </rPr>
      <t xml:space="preserve"> ωράριο</t>
    </r>
  </si>
  <si>
    <r>
      <t xml:space="preserve">Ημέρες </t>
    </r>
    <r>
      <rPr>
        <b/>
        <sz val="8"/>
        <rFont val="Cambria"/>
        <family val="1"/>
      </rPr>
      <t>μη</t>
    </r>
    <r>
      <rPr>
        <sz val="8"/>
        <rFont val="Cambria"/>
        <family val="1"/>
      </rPr>
      <t xml:space="preserve"> εκπαιδευτικής προϋπηρεσίας με </t>
    </r>
    <r>
      <rPr>
        <b/>
        <sz val="8"/>
        <rFont val="Cambria"/>
        <family val="1"/>
      </rPr>
      <t>πλήρες</t>
    </r>
    <r>
      <rPr>
        <sz val="8"/>
        <rFont val="Cambria"/>
        <family val="1"/>
      </rPr>
      <t xml:space="preserve"> ωράριο</t>
    </r>
  </si>
  <si>
    <t>Πλεόνασμα ημερών</t>
  </si>
  <si>
    <t>http://www.alfavita.gr/ank_b/proipiresia.xls</t>
  </si>
  <si>
    <t>Στοιχεία Eκπαιδευτικού</t>
  </si>
  <si>
    <r>
      <t xml:space="preserve">Σύνολο ημερών </t>
    </r>
    <r>
      <rPr>
        <b/>
        <sz val="8"/>
        <color indexed="8"/>
        <rFont val="Cambria"/>
        <family val="1"/>
      </rPr>
      <t>αργίας</t>
    </r>
    <r>
      <rPr>
        <sz val="8"/>
        <color indexed="8"/>
        <rFont val="Cambria"/>
        <family val="1"/>
      </rPr>
      <t xml:space="preserve"> ή </t>
    </r>
    <r>
      <rPr>
        <b/>
        <sz val="8"/>
        <color indexed="8"/>
        <rFont val="Cambria"/>
        <family val="1"/>
      </rPr>
      <t xml:space="preserve">διαθεσιμότητας </t>
    </r>
    <r>
      <rPr>
        <sz val="8"/>
        <color indexed="8"/>
        <rFont val="Cambria"/>
        <family val="1"/>
      </rPr>
      <t>ή</t>
    </r>
    <r>
      <rPr>
        <b/>
        <sz val="8"/>
        <color indexed="8"/>
        <rFont val="Cambria"/>
        <family val="1"/>
      </rPr>
      <t xml:space="preserve"> άδειας άνευ αποδοχών</t>
    </r>
  </si>
  <si>
    <t>(Ε. Υ.)</t>
  </si>
  <si>
    <t xml:space="preserve">Βοηθητικά Εργαλεία - Υπολογισμοί </t>
  </si>
  <si>
    <t xml:space="preserve">                                   Πρόγραμμα Υπολογισμού Προϋπηρεσίας για Μισθολογική Εξέλιξη και Χορήγησης Μισθολογικού κλιμακίου Ν.3205/2003</t>
  </si>
  <si>
    <t xml:space="preserve">      Συνολική υπηρεσία την</t>
  </si>
  <si>
    <t>Έτη</t>
  </si>
  <si>
    <t>Αριθμός Μητρώου</t>
  </si>
  <si>
    <t>Α. Μ. Ασφ/σης</t>
  </si>
  <si>
    <t>Μεταπτυχιακός Τίτλος</t>
  </si>
  <si>
    <t>Ημ/νία Γέννησης</t>
  </si>
  <si>
    <t>Ημ/νία Λήξης Σχολικού Έτους</t>
  </si>
  <si>
    <r>
      <t xml:space="preserve"> Σύνολο ημερών με </t>
    </r>
    <r>
      <rPr>
        <b/>
        <sz val="10"/>
        <rFont val="Cambria"/>
        <family val="1"/>
      </rPr>
      <t>μειωμένο</t>
    </r>
    <r>
      <rPr>
        <sz val="10"/>
        <rFont val="Cambria"/>
        <family val="1"/>
      </rPr>
      <t xml:space="preserve"> ωράριο</t>
    </r>
  </si>
  <si>
    <r>
      <t xml:space="preserve">    Σύνολο ημερών με </t>
    </r>
    <r>
      <rPr>
        <b/>
        <sz val="10"/>
        <rFont val="Cambria"/>
        <family val="1"/>
      </rPr>
      <t>πλήρες</t>
    </r>
    <r>
      <rPr>
        <sz val="10"/>
        <rFont val="Cambria"/>
        <family val="1"/>
      </rPr>
      <t xml:space="preserve"> ωράριο</t>
    </r>
  </si>
  <si>
    <t>Μ/κό κλιμάκιο</t>
  </si>
  <si>
    <t>DEV_PRO_7  by  polybios9@gmail.com</t>
  </si>
  <si>
    <t>271</t>
  </si>
  <si>
    <t>ΜΠΟΥΡΟΥΤΖΗΣ</t>
  </si>
  <si>
    <t>ΠΕΤΡΟΣ</t>
  </si>
  <si>
    <t>ΧΡΗΣΤΟΣ</t>
  </si>
  <si>
    <t>026251811</t>
  </si>
  <si>
    <t>ΠΕ02</t>
  </si>
  <si>
    <t>ΘΕΟΔΩΡΑ</t>
  </si>
  <si>
    <t>ΓΕΛ ΤΥΡΝΑΒΟΥ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</si>
</sst>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Red]0"/>
    <numFmt numFmtId="166" formatCode="d/m/yyyy;@"/>
    <numFmt numFmtId="167" formatCode="[$-408]dddd\,\ d\ mmmm\ yyyy"/>
    <numFmt numFmtId="168" formatCode="#,##0\ &quot;Δρχ&quot;;\-#,##0\ &quot;Δρχ&quot;"/>
    <numFmt numFmtId="169" formatCode="#,##0\ &quot;Δρχ&quot;;[Red]\-#,##0\ &quot;Δρχ&quot;"/>
    <numFmt numFmtId="170" formatCode="#,##0.00\ &quot;Δρχ&quot;;\-#,##0.00\ &quot;Δρχ&quot;"/>
    <numFmt numFmtId="171" formatCode="#,##0.00\ &quot;Δρχ&quot;;[Red]\-#,##0.00\ &quot;Δρχ&quot;"/>
    <numFmt numFmtId="172" formatCode="_-* #,##0\ &quot;Δρχ&quot;_-;\-* #,##0\ &quot;Δρχ&quot;_-;_-* &quot;-&quot;\ &quot;Δρχ&quot;_-;_-@_-"/>
    <numFmt numFmtId="173" formatCode="_-* #,##0\ _Δ_ρ_χ_-;\-* #,##0\ _Δ_ρ_χ_-;_-* &quot;-&quot;\ _Δ_ρ_χ_-;_-@_-"/>
    <numFmt numFmtId="174" formatCode="_-* #,##0.00\ &quot;Δρχ&quot;_-;\-* #,##0.00\ &quot;Δρχ&quot;_-;_-* &quot;-&quot;??\ &quot;Δρχ&quot;_-;_-@_-"/>
    <numFmt numFmtId="175" formatCode="_-* #,##0.00\ _Δ_ρ_χ_-;\-* #,##0.00\ _Δ_ρ_χ_-;_-* &quot;-&quot;??\ _Δ_ρ_χ_-;_-@_-"/>
    <numFmt numFmtId="176" formatCode="yyyy/mm/dd;@"/>
    <numFmt numFmtId="177" formatCode="0.0"/>
    <numFmt numFmtId="178" formatCode="&quot;Ναι&quot;;&quot;Ναι&quot;;&quot;'Οχι&quot;"/>
    <numFmt numFmtId="179" formatCode="&quot;Αληθές&quot;;&quot;Αληθές&quot;;&quot;Ψευδές&quot;"/>
    <numFmt numFmtId="180" formatCode="&quot;Ενεργοποίηση&quot;;&quot;Ενεργοποίηση&quot;;&quot;Απενεργοποίηση&quot;"/>
    <numFmt numFmtId="181" formatCode="[$€-2]\ #,##0.00_);[Red]\([$€-2]\ #,##0.00\)"/>
    <numFmt numFmtId="182" formatCode="[$-408]h:mm:ss\ AM/PM"/>
    <numFmt numFmtId="183" formatCode="h:mm;@"/>
  </numFmts>
  <fonts count="76">
    <font>
      <sz val="10"/>
      <name val="Arial Greek"/>
      <family val="0"/>
    </font>
    <font>
      <sz val="10"/>
      <name val="Segoe UI"/>
      <family val="2"/>
    </font>
    <font>
      <sz val="9"/>
      <name val="Arial Greek"/>
      <family val="0"/>
    </font>
    <font>
      <sz val="8"/>
      <name val="Tahoma"/>
      <family val="0"/>
    </font>
    <font>
      <sz val="13"/>
      <name val="Arial Greek"/>
      <family val="0"/>
    </font>
    <font>
      <sz val="11"/>
      <color indexed="8"/>
      <name val="Calibri"/>
      <family val="2"/>
    </font>
    <font>
      <sz val="11"/>
      <color indexed="9"/>
      <name val="Calibri"/>
      <family val="2"/>
    </font>
    <font>
      <sz val="10"/>
      <name val="Arial"/>
      <family val="0"/>
    </font>
    <font>
      <u val="single"/>
      <sz val="10"/>
      <color indexed="12"/>
      <name val="Arial Greek"/>
      <family val="0"/>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9"/>
      <color indexed="8"/>
      <name val="Cambria"/>
      <family val="1"/>
    </font>
    <font>
      <sz val="9"/>
      <color indexed="12"/>
      <name val="Cambria"/>
      <family val="1"/>
    </font>
    <font>
      <sz val="10"/>
      <name val="Cambria"/>
      <family val="1"/>
    </font>
    <font>
      <sz val="8"/>
      <color indexed="8"/>
      <name val="Cambria"/>
      <family val="1"/>
    </font>
    <font>
      <sz val="8"/>
      <name val="Cambria"/>
      <family val="1"/>
    </font>
    <font>
      <b/>
      <sz val="9"/>
      <name val="Cambria"/>
      <family val="1"/>
    </font>
    <font>
      <sz val="9"/>
      <name val="Cambria"/>
      <family val="1"/>
    </font>
    <font>
      <sz val="12"/>
      <name val="Cambria"/>
      <family val="1"/>
    </font>
    <font>
      <b/>
      <sz val="6"/>
      <color indexed="8"/>
      <name val="Cambria"/>
      <family val="1"/>
    </font>
    <font>
      <b/>
      <sz val="8.5"/>
      <color indexed="8"/>
      <name val="Cambria"/>
      <family val="1"/>
    </font>
    <font>
      <sz val="8.5"/>
      <name val="Cambria"/>
      <family val="1"/>
    </font>
    <font>
      <sz val="9"/>
      <color indexed="8"/>
      <name val="Cambria"/>
      <family val="1"/>
    </font>
    <font>
      <sz val="10"/>
      <color indexed="12"/>
      <name val="Cambria"/>
      <family val="1"/>
    </font>
    <font>
      <b/>
      <sz val="8"/>
      <color indexed="8"/>
      <name val="Cambria"/>
      <family val="1"/>
    </font>
    <font>
      <b/>
      <sz val="9"/>
      <color indexed="12"/>
      <name val="Cambria"/>
      <family val="1"/>
    </font>
    <font>
      <sz val="8"/>
      <color indexed="47"/>
      <name val="Cambria"/>
      <family val="1"/>
    </font>
    <font>
      <b/>
      <sz val="11"/>
      <color indexed="8"/>
      <name val="Cambria"/>
      <family val="1"/>
    </font>
    <font>
      <sz val="8.5"/>
      <color indexed="8"/>
      <name val="Cambria"/>
      <family val="1"/>
    </font>
    <font>
      <sz val="1"/>
      <color indexed="22"/>
      <name val="Cambria"/>
      <family val="1"/>
    </font>
    <font>
      <b/>
      <sz val="9.5"/>
      <color indexed="8"/>
      <name val="Cambria"/>
      <family val="1"/>
    </font>
    <font>
      <sz val="1"/>
      <color indexed="44"/>
      <name val="Cambria"/>
      <family val="1"/>
    </font>
    <font>
      <sz val="9"/>
      <color indexed="44"/>
      <name val="Cambria"/>
      <family val="1"/>
    </font>
    <font>
      <sz val="8"/>
      <color indexed="44"/>
      <name val="Cambria"/>
      <family val="1"/>
    </font>
    <font>
      <b/>
      <sz val="8"/>
      <name val="Cambria"/>
      <family val="1"/>
    </font>
    <font>
      <i/>
      <sz val="1"/>
      <color indexed="22"/>
      <name val="Cambria"/>
      <family val="1"/>
    </font>
    <font>
      <sz val="10"/>
      <color indexed="8"/>
      <name val="Cambria"/>
      <family val="1"/>
    </font>
    <font>
      <b/>
      <sz val="9"/>
      <color indexed="10"/>
      <name val="Cambria"/>
      <family val="1"/>
    </font>
    <font>
      <b/>
      <sz val="10"/>
      <color indexed="10"/>
      <name val="Cambria"/>
      <family val="1"/>
    </font>
    <font>
      <i/>
      <sz val="8"/>
      <color indexed="17"/>
      <name val="Cambria"/>
      <family val="1"/>
    </font>
    <font>
      <sz val="13"/>
      <color indexed="8"/>
      <name val="Cambria"/>
      <family val="1"/>
    </font>
    <font>
      <sz val="14"/>
      <color indexed="12"/>
      <name val="Cambria"/>
      <family val="1"/>
    </font>
    <font>
      <b/>
      <sz val="11"/>
      <name val="Cambria"/>
      <family val="1"/>
    </font>
    <font>
      <b/>
      <sz val="13"/>
      <color indexed="8"/>
      <name val="Cambria"/>
      <family val="1"/>
    </font>
    <font>
      <b/>
      <sz val="10"/>
      <color indexed="8"/>
      <name val="Cambria"/>
      <family val="1"/>
    </font>
    <font>
      <b/>
      <sz val="10"/>
      <name val="Cambria"/>
      <family val="1"/>
    </font>
    <font>
      <b/>
      <sz val="14"/>
      <color indexed="8"/>
      <name val="Cambria"/>
      <family val="1"/>
    </font>
    <font>
      <sz val="13"/>
      <color indexed="12"/>
      <name val="Cambria"/>
      <family val="1"/>
    </font>
    <font>
      <sz val="11"/>
      <color indexed="8"/>
      <name val="Cambria"/>
      <family val="1"/>
    </font>
    <font>
      <b/>
      <sz val="7"/>
      <name val="Cambria"/>
      <family val="1"/>
    </font>
    <font>
      <b/>
      <i/>
      <sz val="7"/>
      <color indexed="12"/>
      <name val="Cambria"/>
      <family val="1"/>
    </font>
    <font>
      <b/>
      <sz val="8"/>
      <color indexed="12"/>
      <name val="Cambria"/>
      <family val="1"/>
    </font>
    <font>
      <u val="single"/>
      <sz val="10.1"/>
      <color indexed="36"/>
      <name val="Arial Greek"/>
      <family val="0"/>
    </font>
    <font>
      <sz val="8"/>
      <name val="Arial Greek"/>
      <family val="0"/>
    </font>
    <font>
      <b/>
      <sz val="10"/>
      <color indexed="12"/>
      <name val="Cambria"/>
      <family val="1"/>
    </font>
    <font>
      <sz val="8.5"/>
      <color indexed="12"/>
      <name val="Cambria"/>
      <family val="1"/>
    </font>
    <font>
      <b/>
      <sz val="8.5"/>
      <name val="Cambria"/>
      <family val="1"/>
    </font>
    <font>
      <b/>
      <i/>
      <u val="single"/>
      <sz val="10"/>
      <color indexed="12"/>
      <name val="Cambria"/>
      <family val="1"/>
    </font>
    <font>
      <b/>
      <i/>
      <sz val="10"/>
      <name val="Cambria"/>
      <family val="1"/>
    </font>
    <font>
      <b/>
      <sz val="8.5"/>
      <name val="Arial Greek"/>
      <family val="0"/>
    </font>
    <font>
      <sz val="9.5"/>
      <name val="Arial Greek"/>
      <family val="0"/>
    </font>
    <font>
      <b/>
      <sz val="11.5"/>
      <color indexed="12"/>
      <name val="Cambria"/>
      <family val="1"/>
    </font>
    <font>
      <b/>
      <sz val="8"/>
      <name val="Arial Greek"/>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8"/>
      </right>
      <top>
        <color indexed="6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23"/>
      </bottom>
    </border>
    <border>
      <left style="thin">
        <color indexed="23"/>
      </left>
      <right style="thin">
        <color indexed="8"/>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color indexed="8"/>
      </right>
      <top>
        <color indexed="6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55"/>
      </top>
      <bottom>
        <color indexed="63"/>
      </bottom>
    </border>
    <border>
      <left style="thin">
        <color indexed="23"/>
      </left>
      <right>
        <color indexed="63"/>
      </right>
      <top style="thin">
        <color indexed="55"/>
      </top>
      <bottom>
        <color indexed="63"/>
      </bottom>
    </border>
    <border>
      <left style="thin">
        <color indexed="23"/>
      </left>
      <right style="thin">
        <color indexed="23"/>
      </right>
      <top>
        <color indexed="63"/>
      </top>
      <bottom style="thin">
        <color indexed="55"/>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style="thin">
        <color indexed="55"/>
      </bottom>
    </border>
    <border>
      <left>
        <color indexed="63"/>
      </left>
      <right style="thin">
        <color indexed="23"/>
      </right>
      <top style="thin">
        <color indexed="55"/>
      </top>
      <bottom style="thin">
        <color indexed="22"/>
      </bottom>
    </border>
    <border>
      <left>
        <color indexed="63"/>
      </left>
      <right style="thin">
        <color indexed="23"/>
      </right>
      <top style="thin">
        <color indexed="22"/>
      </top>
      <bottom style="thin">
        <color indexed="22"/>
      </bottom>
    </border>
    <border>
      <left>
        <color indexed="63"/>
      </left>
      <right style="thin">
        <color indexed="23"/>
      </right>
      <top style="thin">
        <color indexed="22"/>
      </top>
      <bottom style="thin">
        <color indexed="55"/>
      </bottom>
    </border>
    <border>
      <left style="thin">
        <color indexed="23"/>
      </left>
      <right style="thin">
        <color indexed="23"/>
      </right>
      <top style="thin">
        <color indexed="55"/>
      </top>
      <bottom style="thin">
        <color indexed="22"/>
      </bottom>
    </border>
    <border>
      <left>
        <color indexed="63"/>
      </left>
      <right>
        <color indexed="63"/>
      </right>
      <top style="thin">
        <color indexed="2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55"/>
      </bottom>
    </border>
    <border>
      <left style="thin">
        <color indexed="8"/>
      </left>
      <right style="thin">
        <color indexed="23"/>
      </right>
      <top style="thin">
        <color indexed="23"/>
      </top>
      <bottom>
        <color indexed="63"/>
      </bottom>
    </border>
    <border>
      <left style="thin">
        <color indexed="23"/>
      </left>
      <right style="thin">
        <color indexed="8"/>
      </right>
      <top>
        <color indexed="63"/>
      </top>
      <bottom>
        <color indexed="63"/>
      </bottom>
    </border>
    <border>
      <left style="thin">
        <color indexed="23"/>
      </left>
      <right style="thin">
        <color indexed="8"/>
      </right>
      <top style="thin">
        <color indexed="23"/>
      </top>
      <bottom>
        <color indexed="63"/>
      </bottom>
    </border>
    <border>
      <left style="thin">
        <color indexed="23"/>
      </left>
      <right style="thin">
        <color indexed="8"/>
      </right>
      <top>
        <color indexed="63"/>
      </top>
      <bottom style="thin">
        <color indexed="23"/>
      </bottom>
    </border>
    <border>
      <left style="thin">
        <color indexed="23"/>
      </left>
      <right style="thin">
        <color indexed="23"/>
      </right>
      <top>
        <color indexed="63"/>
      </top>
      <bottom style="thin">
        <color indexed="23"/>
      </bottom>
    </border>
    <border>
      <left style="thin">
        <color indexed="55"/>
      </left>
      <right style="thin">
        <color indexed="55"/>
      </right>
      <top style="thin">
        <color indexed="55"/>
      </top>
      <bottom style="thin">
        <color indexed="55"/>
      </bottom>
    </border>
    <border>
      <left>
        <color indexed="63"/>
      </left>
      <right style="thin">
        <color indexed="8"/>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color indexed="63"/>
      </top>
      <bottom style="thin">
        <color indexed="55"/>
      </bottom>
    </border>
    <border>
      <left>
        <color indexed="63"/>
      </left>
      <right style="thin">
        <color indexed="8"/>
      </right>
      <top>
        <color indexed="63"/>
      </top>
      <bottom style="thin">
        <color indexed="55"/>
      </bottom>
    </border>
    <border>
      <left>
        <color indexed="63"/>
      </left>
      <right style="medium">
        <color indexed="8"/>
      </right>
      <top>
        <color indexed="63"/>
      </top>
      <bottom>
        <color indexed="63"/>
      </bottom>
    </border>
    <border>
      <left>
        <color indexed="63"/>
      </left>
      <right style="thin">
        <color indexed="8"/>
      </right>
      <top style="thin">
        <color indexed="23"/>
      </top>
      <bottom style="thin">
        <color indexed="8"/>
      </bottom>
    </border>
    <border>
      <left style="thin">
        <color indexed="8"/>
      </left>
      <right>
        <color indexed="63"/>
      </right>
      <top>
        <color indexed="63"/>
      </top>
      <bottom style="thin">
        <color indexed="23"/>
      </bottom>
    </border>
    <border>
      <left style="thin">
        <color indexed="8"/>
      </left>
      <right>
        <color indexed="63"/>
      </right>
      <top style="thin">
        <color indexed="23"/>
      </top>
      <bottom style="thin">
        <color indexed="8"/>
      </bottom>
    </border>
    <border>
      <left>
        <color indexed="63"/>
      </left>
      <right>
        <color indexed="63"/>
      </right>
      <top style="thin">
        <color indexed="8"/>
      </top>
      <bottom style="thin">
        <color indexed="23"/>
      </bottom>
    </border>
    <border>
      <left>
        <color indexed="63"/>
      </left>
      <right style="thin">
        <color indexed="8"/>
      </right>
      <top style="thin">
        <color indexed="8"/>
      </top>
      <bottom style="thin">
        <color indexed="2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7" borderId="1" applyNumberFormat="0" applyAlignment="0" applyProtection="0"/>
    <xf numFmtId="0" fontId="10" fillId="16" borderId="2" applyNumberForma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11" fillId="21" borderId="3" applyNumberFormat="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23" borderId="7" applyNumberFormat="0" applyFont="0" applyAlignment="0" applyProtection="0"/>
    <xf numFmtId="0" fontId="20" fillId="0" borderId="8"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65" fillId="0" borderId="0" applyNumberFormat="0" applyFill="0" applyBorder="0" applyAlignment="0" applyProtection="0"/>
    <xf numFmtId="0" fontId="23" fillId="21" borderId="1" applyNumberFormat="0" applyAlignment="0" applyProtection="0"/>
  </cellStyleXfs>
  <cellXfs count="269">
    <xf numFmtId="0" fontId="0" fillId="0" borderId="0" xfId="0" applyAlignment="1">
      <alignment/>
    </xf>
    <xf numFmtId="0" fontId="2" fillId="0" borderId="0" xfId="0" applyFont="1" applyAlignment="1">
      <alignment horizontal="center" vertical="center" wrapText="1"/>
    </xf>
    <xf numFmtId="0" fontId="4" fillId="0" borderId="0" xfId="0" applyFont="1" applyAlignment="1">
      <alignment/>
    </xf>
    <xf numFmtId="0" fontId="1" fillId="21" borderId="0" xfId="0" applyFont="1" applyFill="1" applyAlignment="1">
      <alignment/>
    </xf>
    <xf numFmtId="0" fontId="0" fillId="21" borderId="0" xfId="0" applyFill="1" applyAlignment="1">
      <alignment/>
    </xf>
    <xf numFmtId="0" fontId="0" fillId="21" borderId="0" xfId="0" applyFill="1" applyAlignment="1">
      <alignment/>
    </xf>
    <xf numFmtId="0" fontId="4" fillId="21" borderId="0" xfId="0" applyFont="1" applyFill="1" applyAlignment="1">
      <alignment/>
    </xf>
    <xf numFmtId="0" fontId="2" fillId="21" borderId="0" xfId="0" applyFont="1" applyFill="1" applyAlignment="1">
      <alignment horizontal="center" vertical="center" wrapText="1"/>
    </xf>
    <xf numFmtId="0" fontId="1" fillId="21" borderId="0" xfId="0" applyFont="1" applyFill="1" applyAlignment="1">
      <alignment horizontal="center"/>
    </xf>
    <xf numFmtId="0" fontId="25" fillId="24" borderId="0" xfId="0" applyFont="1" applyFill="1" applyBorder="1" applyAlignment="1">
      <alignment horizontal="center" vertical="center" wrapText="1"/>
    </xf>
    <xf numFmtId="0" fontId="30" fillId="21" borderId="10"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164" fontId="25" fillId="24" borderId="0" xfId="0" applyNumberFormat="1" applyFont="1" applyFill="1" applyBorder="1" applyAlignment="1">
      <alignment horizontal="center" vertical="center" wrapText="1"/>
    </xf>
    <xf numFmtId="164" fontId="36" fillId="24" borderId="0" xfId="0" applyNumberFormat="1" applyFont="1" applyFill="1" applyBorder="1" applyAlignment="1">
      <alignment horizontal="center" vertical="center" wrapText="1"/>
    </xf>
    <xf numFmtId="0" fontId="27" fillId="8" borderId="0" xfId="0" applyFont="1" applyFill="1" applyBorder="1" applyAlignment="1">
      <alignment horizontal="right" vertical="center" wrapText="1"/>
    </xf>
    <xf numFmtId="0" fontId="37" fillId="8" borderId="0" xfId="0" applyFont="1" applyFill="1" applyBorder="1" applyAlignment="1">
      <alignment horizontal="right" vertical="center" wrapText="1"/>
    </xf>
    <xf numFmtId="49" fontId="28" fillId="0" borderId="11" xfId="0" applyNumberFormat="1" applyFont="1" applyBorder="1" applyAlignment="1" applyProtection="1">
      <alignment horizontal="center" vertical="center" wrapText="1"/>
      <protection locked="0"/>
    </xf>
    <xf numFmtId="0" fontId="28" fillId="8" borderId="0" xfId="0" applyFont="1" applyFill="1" applyBorder="1" applyAlignment="1">
      <alignment horizontal="right" vertical="center" wrapText="1"/>
    </xf>
    <xf numFmtId="0" fontId="27" fillId="8" borderId="0" xfId="0" applyFont="1" applyFill="1" applyBorder="1" applyAlignment="1">
      <alignment horizontal="right" vertical="center"/>
    </xf>
    <xf numFmtId="0" fontId="35" fillId="7" borderId="0" xfId="0" applyFont="1" applyFill="1" applyBorder="1" applyAlignment="1">
      <alignment horizontal="right" vertical="center"/>
    </xf>
    <xf numFmtId="0" fontId="40" fillId="7" borderId="0" xfId="0" applyFont="1" applyFill="1" applyBorder="1" applyAlignment="1">
      <alignment horizontal="center" vertical="center" wrapText="1"/>
    </xf>
    <xf numFmtId="0" fontId="35" fillId="7" borderId="0" xfId="0" applyFont="1" applyFill="1" applyBorder="1" applyAlignment="1">
      <alignment horizontal="left" vertical="center" wrapText="1"/>
    </xf>
    <xf numFmtId="0" fontId="41" fillId="7" borderId="0" xfId="0" applyFont="1" applyFill="1" applyBorder="1" applyAlignment="1">
      <alignment horizontal="center" vertical="center"/>
    </xf>
    <xf numFmtId="14" fontId="24" fillId="7" borderId="12" xfId="0" applyNumberFormat="1" applyFont="1" applyFill="1" applyBorder="1" applyAlignment="1">
      <alignment horizontal="center" vertical="center" wrapText="1"/>
    </xf>
    <xf numFmtId="0" fontId="42" fillId="21" borderId="0" xfId="0" applyFont="1" applyFill="1" applyBorder="1" applyAlignment="1">
      <alignment horizontal="center" vertical="center" wrapText="1"/>
    </xf>
    <xf numFmtId="14" fontId="29" fillId="24" borderId="1" xfId="0" applyNumberFormat="1" applyFont="1" applyFill="1" applyBorder="1" applyAlignment="1" applyProtection="1">
      <alignment horizontal="center" vertical="center" wrapText="1"/>
      <protection locked="0"/>
    </xf>
    <xf numFmtId="0" fontId="44" fillId="8" borderId="0" xfId="0" applyFont="1" applyFill="1" applyBorder="1" applyAlignment="1">
      <alignment horizontal="center" vertical="center" wrapText="1"/>
    </xf>
    <xf numFmtId="1" fontId="24" fillId="8" borderId="0" xfId="0" applyNumberFormat="1" applyFont="1" applyFill="1" applyBorder="1" applyAlignment="1">
      <alignment horizontal="center" vertical="center" wrapText="1"/>
    </xf>
    <xf numFmtId="14" fontId="44" fillId="8" borderId="0" xfId="0" applyNumberFormat="1" applyFont="1" applyFill="1" applyBorder="1" applyAlignment="1">
      <alignment horizontal="center" vertical="center" wrapText="1"/>
    </xf>
    <xf numFmtId="1" fontId="38" fillId="8" borderId="0" xfId="0" applyNumberFormat="1" applyFont="1" applyFill="1" applyBorder="1" applyAlignment="1">
      <alignment horizontal="center" vertical="center" wrapText="1"/>
    </xf>
    <xf numFmtId="0" fontId="45" fillId="8" borderId="12" xfId="0" applyFont="1" applyFill="1" applyBorder="1" applyAlignment="1">
      <alignment horizontal="center" vertical="center" wrapText="1"/>
    </xf>
    <xf numFmtId="0" fontId="46" fillId="8" borderId="0" xfId="0" applyFont="1" applyFill="1" applyBorder="1" applyAlignment="1">
      <alignment horizontal="center" vertical="center" wrapText="1"/>
    </xf>
    <xf numFmtId="1" fontId="44" fillId="8" borderId="12" xfId="0" applyNumberFormat="1" applyFont="1" applyFill="1" applyBorder="1" applyAlignment="1">
      <alignment horizontal="center" vertical="center" wrapText="1"/>
    </xf>
    <xf numFmtId="1" fontId="44" fillId="8" borderId="12" xfId="0" applyNumberFormat="1" applyFont="1" applyFill="1" applyBorder="1" applyAlignment="1" applyProtection="1">
      <alignment horizontal="center" vertical="center" wrapText="1"/>
      <protection/>
    </xf>
    <xf numFmtId="1" fontId="42" fillId="21" borderId="13" xfId="0" applyNumberFormat="1" applyFont="1" applyFill="1" applyBorder="1" applyAlignment="1">
      <alignment horizontal="center" vertical="center" wrapText="1"/>
    </xf>
    <xf numFmtId="0" fontId="27" fillId="21" borderId="0" xfId="0" applyFont="1" applyFill="1" applyBorder="1" applyAlignment="1">
      <alignment horizontal="right" vertical="center" wrapText="1"/>
    </xf>
    <xf numFmtId="14" fontId="27" fillId="21" borderId="0" xfId="0" applyNumberFormat="1" applyFont="1" applyFill="1" applyBorder="1" applyAlignment="1">
      <alignment horizontal="right" vertical="center" wrapText="1"/>
    </xf>
    <xf numFmtId="0" fontId="42" fillId="21" borderId="14" xfId="0" applyFont="1" applyFill="1" applyBorder="1" applyAlignment="1">
      <alignment horizontal="center" vertical="center" wrapText="1"/>
    </xf>
    <xf numFmtId="164" fontId="50" fillId="24" borderId="0" xfId="0" applyNumberFormat="1" applyFont="1" applyFill="1" applyBorder="1" applyAlignment="1">
      <alignment horizontal="center" vertical="center" wrapText="1"/>
    </xf>
    <xf numFmtId="164" fontId="51" fillId="24" borderId="0" xfId="0" applyNumberFormat="1" applyFont="1" applyFill="1" applyBorder="1" applyAlignment="1">
      <alignment horizontal="center" vertical="center" wrapText="1"/>
    </xf>
    <xf numFmtId="0" fontId="28" fillId="21" borderId="0" xfId="0" applyFont="1" applyFill="1" applyBorder="1" applyAlignment="1">
      <alignment horizontal="right" vertical="center" wrapText="1"/>
    </xf>
    <xf numFmtId="2" fontId="35" fillId="0" borderId="15" xfId="0" applyNumberFormat="1" applyFont="1" applyFill="1" applyBorder="1" applyAlignment="1" applyProtection="1">
      <alignment horizontal="center" vertical="center" wrapText="1"/>
      <protection locked="0"/>
    </xf>
    <xf numFmtId="0" fontId="28" fillId="21" borderId="0" xfId="0" applyFont="1" applyFill="1" applyBorder="1" applyAlignment="1">
      <alignment horizontal="center" vertical="center"/>
    </xf>
    <xf numFmtId="0" fontId="52" fillId="21" borderId="0" xfId="0" applyFont="1" applyFill="1" applyBorder="1" applyAlignment="1">
      <alignment horizontal="right" vertical="center" wrapText="1"/>
    </xf>
    <xf numFmtId="0" fontId="35" fillId="0" borderId="15" xfId="0" applyFont="1" applyFill="1" applyBorder="1" applyAlignment="1" applyProtection="1">
      <alignment horizontal="center" vertical="center" wrapText="1"/>
      <protection locked="0"/>
    </xf>
    <xf numFmtId="1" fontId="53" fillId="21" borderId="0" xfId="0" applyNumberFormat="1" applyFont="1" applyFill="1" applyBorder="1" applyAlignment="1">
      <alignment horizontal="center" vertical="center" wrapText="1"/>
    </xf>
    <xf numFmtId="0" fontId="49" fillId="21" borderId="0" xfId="0" applyFont="1" applyFill="1" applyBorder="1" applyAlignment="1">
      <alignment horizontal="center" vertical="center" wrapText="1"/>
    </xf>
    <xf numFmtId="1" fontId="54" fillId="21" borderId="0" xfId="0" applyNumberFormat="1" applyFont="1" applyFill="1" applyBorder="1" applyAlignment="1">
      <alignment horizontal="center" vertical="center" wrapText="1"/>
    </xf>
    <xf numFmtId="0" fontId="30" fillId="21" borderId="0" xfId="0" applyFont="1" applyFill="1" applyBorder="1" applyAlignment="1">
      <alignment horizontal="center" vertical="center" wrapText="1"/>
    </xf>
    <xf numFmtId="0" fontId="30" fillId="25" borderId="0" xfId="0" applyFont="1" applyFill="1" applyBorder="1" applyAlignment="1">
      <alignment horizontal="center" vertical="center" wrapText="1"/>
    </xf>
    <xf numFmtId="0" fontId="47" fillId="8" borderId="16" xfId="0" applyFont="1" applyFill="1" applyBorder="1" applyAlignment="1">
      <alignment horizontal="center" vertical="center"/>
    </xf>
    <xf numFmtId="0" fontId="47" fillId="8" borderId="17" xfId="0" applyFont="1" applyFill="1" applyBorder="1" applyAlignment="1">
      <alignment horizontal="center" vertical="center"/>
    </xf>
    <xf numFmtId="1" fontId="35" fillId="0" borderId="15" xfId="0" applyNumberFormat="1" applyFont="1" applyFill="1" applyBorder="1" applyAlignment="1" applyProtection="1">
      <alignment horizontal="center" vertical="center" wrapText="1"/>
      <protection locked="0"/>
    </xf>
    <xf numFmtId="1" fontId="53" fillId="21" borderId="14" xfId="0" applyNumberFormat="1" applyFont="1" applyFill="1" applyBorder="1" applyAlignment="1">
      <alignment horizontal="center" vertical="center" wrapText="1"/>
    </xf>
    <xf numFmtId="0" fontId="49" fillId="21" borderId="14" xfId="0" applyFont="1" applyFill="1" applyBorder="1" applyAlignment="1">
      <alignment horizontal="center" vertical="center" wrapText="1"/>
    </xf>
    <xf numFmtId="1" fontId="54" fillId="21" borderId="14" xfId="0" applyNumberFormat="1" applyFont="1" applyFill="1" applyBorder="1" applyAlignment="1">
      <alignment horizontal="center" vertical="center" wrapText="1"/>
    </xf>
    <xf numFmtId="1" fontId="55" fillId="8" borderId="11" xfId="0" applyNumberFormat="1" applyFont="1" applyFill="1" applyBorder="1" applyAlignment="1">
      <alignment horizontal="center" vertical="center"/>
    </xf>
    <xf numFmtId="1" fontId="55" fillId="8" borderId="18" xfId="0" applyNumberFormat="1" applyFont="1" applyFill="1" applyBorder="1" applyAlignment="1">
      <alignment horizontal="center" vertical="center"/>
    </xf>
    <xf numFmtId="1" fontId="24" fillId="0" borderId="15" xfId="0" applyNumberFormat="1" applyFont="1" applyFill="1" applyBorder="1" applyAlignment="1" applyProtection="1">
      <alignment horizontal="center" vertical="center" wrapText="1"/>
      <protection locked="0"/>
    </xf>
    <xf numFmtId="0" fontId="30" fillId="24" borderId="19" xfId="0" applyFont="1" applyFill="1" applyBorder="1" applyAlignment="1">
      <alignment horizontal="center" vertical="center" wrapText="1"/>
    </xf>
    <xf numFmtId="1" fontId="59" fillId="7" borderId="0" xfId="0" applyNumberFormat="1" applyFont="1" applyFill="1" applyBorder="1" applyAlignment="1">
      <alignment horizontal="center" vertical="center" wrapText="1"/>
    </xf>
    <xf numFmtId="0" fontId="57" fillId="7" borderId="0"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60" fillId="24" borderId="0" xfId="0" applyFont="1" applyFill="1" applyBorder="1" applyAlignment="1">
      <alignment horizontal="center" vertical="center" wrapText="1"/>
    </xf>
    <xf numFmtId="0" fontId="30" fillId="21" borderId="13" xfId="0" applyFont="1" applyFill="1" applyBorder="1" applyAlignment="1">
      <alignment horizontal="center" vertical="center" wrapText="1"/>
    </xf>
    <xf numFmtId="1" fontId="56" fillId="7" borderId="0" xfId="0" applyNumberFormat="1" applyFont="1" applyFill="1" applyBorder="1" applyAlignment="1">
      <alignment horizontal="center" vertical="center" wrapText="1"/>
    </xf>
    <xf numFmtId="0" fontId="58" fillId="8" borderId="20" xfId="0" applyFont="1" applyFill="1" applyBorder="1" applyAlignment="1">
      <alignment horizontal="center"/>
    </xf>
    <xf numFmtId="0" fontId="28" fillId="8" borderId="0" xfId="0" applyFont="1" applyFill="1" applyBorder="1" applyAlignment="1">
      <alignment horizontal="center" vertical="center" wrapText="1"/>
    </xf>
    <xf numFmtId="0" fontId="35" fillId="0" borderId="0" xfId="0" applyFont="1" applyBorder="1" applyAlignment="1" applyProtection="1">
      <alignment horizontal="center" vertical="center" wrapText="1"/>
      <protection locked="0"/>
    </xf>
    <xf numFmtId="1" fontId="49" fillId="21" borderId="0" xfId="0" applyNumberFormat="1" applyFont="1" applyFill="1" applyBorder="1" applyAlignment="1">
      <alignment horizontal="center" vertical="center" wrapText="1"/>
    </xf>
    <xf numFmtId="0" fontId="47" fillId="8" borderId="0" xfId="0" applyFont="1" applyFill="1" applyBorder="1" applyAlignment="1">
      <alignment horizontal="center" vertical="center"/>
    </xf>
    <xf numFmtId="1" fontId="55" fillId="8" borderId="14" xfId="0" applyNumberFormat="1" applyFont="1" applyFill="1" applyBorder="1" applyAlignment="1">
      <alignment horizontal="center" vertical="center"/>
    </xf>
    <xf numFmtId="1" fontId="47" fillId="21" borderId="0" xfId="0" applyNumberFormat="1" applyFont="1" applyFill="1" applyBorder="1" applyAlignment="1" applyProtection="1">
      <alignment horizontal="center" vertical="center"/>
      <protection/>
    </xf>
    <xf numFmtId="1" fontId="27" fillId="21" borderId="11" xfId="0" applyNumberFormat="1" applyFont="1" applyFill="1" applyBorder="1" applyAlignment="1">
      <alignment horizontal="right" vertical="center"/>
    </xf>
    <xf numFmtId="0" fontId="27" fillId="21" borderId="21" xfId="0" applyFont="1" applyFill="1" applyBorder="1" applyAlignment="1">
      <alignment horizontal="right" vertical="center" wrapText="1"/>
    </xf>
    <xf numFmtId="0" fontId="42" fillId="21" borderId="13" xfId="0" applyFont="1" applyFill="1" applyBorder="1" applyAlignment="1">
      <alignment/>
    </xf>
    <xf numFmtId="0" fontId="27" fillId="21" borderId="11" xfId="0" applyFont="1" applyFill="1" applyBorder="1" applyAlignment="1">
      <alignment horizontal="right" vertical="center" wrapText="1"/>
    </xf>
    <xf numFmtId="0" fontId="27" fillId="21" borderId="0" xfId="0" applyNumberFormat="1" applyFont="1" applyFill="1" applyBorder="1" applyAlignment="1">
      <alignment horizontal="right" vertical="center" wrapText="1"/>
    </xf>
    <xf numFmtId="1" fontId="37" fillId="21" borderId="0" xfId="0" applyNumberFormat="1" applyFont="1" applyFill="1" applyBorder="1" applyAlignment="1">
      <alignment horizontal="center" vertical="center"/>
    </xf>
    <xf numFmtId="0" fontId="28" fillId="21" borderId="18" xfId="0" applyFont="1" applyFill="1" applyBorder="1" applyAlignment="1">
      <alignment horizontal="right" vertical="center"/>
    </xf>
    <xf numFmtId="2" fontId="68" fillId="21" borderId="10" xfId="0" applyNumberFormat="1" applyFont="1" applyFill="1" applyBorder="1" applyAlignment="1">
      <alignment horizontal="center" vertical="center" wrapText="1"/>
    </xf>
    <xf numFmtId="2" fontId="68" fillId="21" borderId="22" xfId="0" applyNumberFormat="1" applyFont="1" applyFill="1" applyBorder="1" applyAlignment="1">
      <alignment horizontal="center" vertical="center" wrapText="1"/>
    </xf>
    <xf numFmtId="1" fontId="68" fillId="21" borderId="22" xfId="0" applyNumberFormat="1" applyFont="1" applyFill="1" applyBorder="1" applyAlignment="1">
      <alignment horizontal="center" vertical="center" wrapText="1"/>
    </xf>
    <xf numFmtId="2" fontId="41" fillId="21" borderId="22" xfId="0" applyNumberFormat="1" applyFont="1" applyFill="1" applyBorder="1" applyAlignment="1">
      <alignment horizontal="center" vertical="center" wrapText="1"/>
    </xf>
    <xf numFmtId="1" fontId="41" fillId="21" borderId="13" xfId="0" applyNumberFormat="1"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58" fillId="7" borderId="14" xfId="0" applyFont="1" applyFill="1" applyBorder="1" applyAlignment="1">
      <alignment horizontal="left" vertical="center"/>
    </xf>
    <xf numFmtId="1" fontId="33" fillId="21" borderId="12" xfId="0" applyNumberFormat="1" applyFont="1" applyFill="1" applyBorder="1" applyAlignment="1" applyProtection="1">
      <alignment horizontal="center" vertical="center" wrapText="1"/>
      <protection/>
    </xf>
    <xf numFmtId="14" fontId="41" fillId="0" borderId="15" xfId="0" applyNumberFormat="1" applyFont="1" applyFill="1" applyBorder="1" applyAlignment="1" applyProtection="1">
      <alignment horizontal="center" vertical="center" wrapText="1"/>
      <protection locked="0"/>
    </xf>
    <xf numFmtId="14" fontId="34" fillId="0" borderId="15" xfId="0" applyNumberFormat="1" applyFont="1" applyFill="1" applyBorder="1" applyAlignment="1" applyProtection="1">
      <alignment horizontal="center" vertical="center" wrapText="1"/>
      <protection locked="0"/>
    </xf>
    <xf numFmtId="1" fontId="69" fillId="0" borderId="15" xfId="0" applyNumberFormat="1" applyFont="1" applyFill="1" applyBorder="1" applyAlignment="1" applyProtection="1">
      <alignment horizontal="center" vertical="center" wrapText="1"/>
      <protection locked="0"/>
    </xf>
    <xf numFmtId="2" fontId="33" fillId="21" borderId="23" xfId="0" applyNumberFormat="1" applyFont="1" applyFill="1" applyBorder="1" applyAlignment="1">
      <alignment horizontal="center" vertical="center" wrapText="1"/>
    </xf>
    <xf numFmtId="166" fontId="41" fillId="0" borderId="15" xfId="0" applyNumberFormat="1" applyFont="1" applyFill="1" applyBorder="1" applyAlignment="1" applyProtection="1">
      <alignment horizontal="center" vertical="center" wrapText="1"/>
      <protection locked="0"/>
    </xf>
    <xf numFmtId="0" fontId="69" fillId="0" borderId="24" xfId="0" applyFont="1" applyBorder="1" applyAlignment="1" applyProtection="1">
      <alignment horizontal="center" vertical="center"/>
      <protection locked="0"/>
    </xf>
    <xf numFmtId="0" fontId="47" fillId="8" borderId="21" xfId="0" applyFont="1" applyFill="1" applyBorder="1" applyAlignment="1">
      <alignment horizontal="center" vertical="center" wrapText="1"/>
    </xf>
    <xf numFmtId="2" fontId="68" fillId="21" borderId="25" xfId="0" applyNumberFormat="1" applyFont="1" applyFill="1" applyBorder="1" applyAlignment="1">
      <alignment horizontal="center" vertical="center" wrapText="1"/>
    </xf>
    <xf numFmtId="1" fontId="68" fillId="21" borderId="25" xfId="0" applyNumberFormat="1" applyFont="1" applyFill="1" applyBorder="1" applyAlignment="1">
      <alignment horizontal="center" vertical="center" wrapText="1"/>
    </xf>
    <xf numFmtId="1" fontId="41" fillId="21" borderId="26" xfId="0" applyNumberFormat="1" applyFont="1" applyFill="1" applyBorder="1" applyAlignment="1">
      <alignment horizontal="center" vertical="center" wrapText="1"/>
    </xf>
    <xf numFmtId="1" fontId="49" fillId="21" borderId="21" xfId="0" applyNumberFormat="1" applyFont="1" applyFill="1" applyBorder="1" applyAlignment="1">
      <alignment horizontal="center" vertical="center" wrapText="1"/>
    </xf>
    <xf numFmtId="2" fontId="36" fillId="21" borderId="0" xfId="0" applyNumberFormat="1" applyFont="1" applyFill="1" applyBorder="1" applyAlignment="1">
      <alignment horizontal="center" vertical="center" wrapText="1"/>
    </xf>
    <xf numFmtId="1" fontId="36" fillId="21" borderId="0" xfId="0" applyNumberFormat="1" applyFont="1" applyFill="1" applyBorder="1" applyAlignment="1">
      <alignment horizontal="center" vertical="center" wrapText="1"/>
    </xf>
    <xf numFmtId="2" fontId="49" fillId="21" borderId="0" xfId="0" applyNumberFormat="1" applyFont="1" applyFill="1" applyBorder="1" applyAlignment="1">
      <alignment horizontal="center" vertical="center" wrapText="1"/>
    </xf>
    <xf numFmtId="2" fontId="68" fillId="21" borderId="27" xfId="0" applyNumberFormat="1" applyFont="1" applyFill="1" applyBorder="1" applyAlignment="1">
      <alignment horizontal="center" vertical="center" wrapText="1"/>
    </xf>
    <xf numFmtId="1" fontId="68" fillId="21" borderId="27" xfId="0" applyNumberFormat="1" applyFont="1" applyFill="1" applyBorder="1" applyAlignment="1">
      <alignment horizontal="center" vertical="center" wrapText="1"/>
    </xf>
    <xf numFmtId="2" fontId="41" fillId="21" borderId="27" xfId="0" applyNumberFormat="1" applyFont="1" applyFill="1" applyBorder="1" applyAlignment="1">
      <alignment horizontal="center" vertical="center" wrapText="1"/>
    </xf>
    <xf numFmtId="1" fontId="49" fillId="21" borderId="13" xfId="0" applyNumberFormat="1" applyFont="1" applyFill="1" applyBorder="1" applyAlignment="1">
      <alignment horizontal="center" vertical="center" wrapText="1"/>
    </xf>
    <xf numFmtId="1" fontId="41" fillId="21" borderId="27" xfId="0" applyNumberFormat="1" applyFont="1" applyFill="1" applyBorder="1" applyAlignment="1">
      <alignment horizontal="center" vertical="center" wrapText="1"/>
    </xf>
    <xf numFmtId="0" fontId="24" fillId="0" borderId="25"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6" fillId="24" borderId="0" xfId="0" applyFont="1" applyFill="1" applyBorder="1" applyAlignment="1">
      <alignment/>
    </xf>
    <xf numFmtId="1" fontId="30" fillId="0" borderId="28" xfId="0" applyNumberFormat="1" applyFont="1" applyBorder="1" applyAlignment="1" applyProtection="1">
      <alignment horizontal="center" vertical="center" wrapText="1"/>
      <protection locked="0"/>
    </xf>
    <xf numFmtId="1" fontId="30" fillId="0" borderId="29" xfId="0" applyNumberFormat="1" applyFont="1" applyBorder="1" applyAlignment="1" applyProtection="1">
      <alignment horizontal="center" vertical="center" wrapText="1"/>
      <protection locked="0"/>
    </xf>
    <xf numFmtId="14" fontId="34" fillId="0" borderId="30" xfId="0" applyNumberFormat="1" applyFont="1" applyBorder="1" applyAlignment="1" applyProtection="1">
      <alignment horizontal="center" vertical="center" wrapText="1"/>
      <protection locked="0"/>
    </xf>
    <xf numFmtId="14" fontId="34" fillId="0" borderId="31" xfId="0" applyNumberFormat="1" applyFont="1" applyBorder="1" applyAlignment="1" applyProtection="1">
      <alignment horizontal="center" vertical="center" wrapText="1"/>
      <protection locked="0"/>
    </xf>
    <xf numFmtId="14" fontId="34" fillId="0" borderId="32" xfId="0" applyNumberFormat="1" applyFont="1" applyBorder="1" applyAlignment="1" applyProtection="1">
      <alignment horizontal="center" vertical="center" wrapText="1"/>
      <protection locked="0"/>
    </xf>
    <xf numFmtId="14" fontId="34" fillId="0" borderId="33" xfId="0" applyNumberFormat="1" applyFont="1" applyBorder="1" applyAlignment="1" applyProtection="1">
      <alignment horizontal="center" vertical="center" wrapText="1"/>
      <protection locked="0"/>
    </xf>
    <xf numFmtId="14" fontId="34" fillId="0" borderId="28" xfId="0" applyNumberFormat="1" applyFont="1" applyBorder="1" applyAlignment="1" applyProtection="1">
      <alignment horizontal="center" vertical="center" wrapText="1"/>
      <protection locked="0"/>
    </xf>
    <xf numFmtId="14" fontId="34" fillId="0" borderId="29" xfId="0" applyNumberFormat="1" applyFont="1" applyBorder="1" applyAlignment="1" applyProtection="1">
      <alignment horizontal="center" vertical="center" wrapText="1"/>
      <protection locked="0"/>
    </xf>
    <xf numFmtId="1" fontId="30" fillId="0" borderId="33" xfId="0" applyNumberFormat="1" applyFont="1" applyBorder="1" applyAlignment="1" applyProtection="1">
      <alignment horizontal="center" vertical="center" wrapText="1"/>
      <protection locked="0"/>
    </xf>
    <xf numFmtId="0" fontId="57" fillId="7" borderId="34" xfId="0" applyFont="1" applyFill="1" applyBorder="1" applyAlignment="1">
      <alignment horizontal="center" vertical="center"/>
    </xf>
    <xf numFmtId="0" fontId="32" fillId="21" borderId="35" xfId="0" applyFont="1" applyFill="1" applyBorder="1" applyAlignment="1">
      <alignment horizontal="center" vertical="center" wrapText="1"/>
    </xf>
    <xf numFmtId="0" fontId="33" fillId="21" borderId="35" xfId="0" applyFont="1" applyFill="1" applyBorder="1" applyAlignment="1">
      <alignment horizontal="center" vertical="center" wrapText="1"/>
    </xf>
    <xf numFmtId="0" fontId="33" fillId="21" borderId="36" xfId="0" applyFont="1" applyFill="1" applyBorder="1" applyAlignment="1">
      <alignment horizontal="center" vertical="center" wrapText="1"/>
    </xf>
    <xf numFmtId="0" fontId="56" fillId="7" borderId="34" xfId="0" applyFont="1" applyFill="1" applyBorder="1" applyAlignment="1">
      <alignment horizontal="center" vertical="center"/>
    </xf>
    <xf numFmtId="0" fontId="61" fillId="7" borderId="34" xfId="0" applyFont="1" applyFill="1" applyBorder="1" applyAlignment="1">
      <alignment horizontal="center" vertical="center"/>
    </xf>
    <xf numFmtId="0" fontId="26" fillId="21" borderId="37" xfId="0" applyFont="1" applyFill="1" applyBorder="1" applyAlignment="1">
      <alignment horizontal="center" vertical="center" wrapText="1"/>
    </xf>
    <xf numFmtId="1" fontId="34" fillId="0" borderId="33" xfId="33" applyNumberFormat="1" applyFont="1" applyBorder="1" applyAlignment="1" applyProtection="1">
      <alignment horizontal="center" vertical="center"/>
      <protection locked="0"/>
    </xf>
    <xf numFmtId="1" fontId="34" fillId="0" borderId="30" xfId="33" applyNumberFormat="1" applyFont="1" applyBorder="1" applyAlignment="1" applyProtection="1">
      <alignment horizontal="center" vertical="center"/>
      <protection locked="0"/>
    </xf>
    <xf numFmtId="1" fontId="34" fillId="0" borderId="28" xfId="33" applyNumberFormat="1" applyFont="1" applyBorder="1" applyAlignment="1" applyProtection="1">
      <alignment horizontal="center" vertical="center"/>
      <protection locked="0"/>
    </xf>
    <xf numFmtId="1" fontId="34" fillId="0" borderId="31" xfId="33" applyNumberFormat="1" applyFont="1" applyBorder="1" applyAlignment="1" applyProtection="1">
      <alignment horizontal="center" vertical="center"/>
      <protection locked="0"/>
    </xf>
    <xf numFmtId="1" fontId="34" fillId="0" borderId="28" xfId="0" applyNumberFormat="1" applyFont="1" applyBorder="1" applyAlignment="1" applyProtection="1">
      <alignment horizontal="center" vertical="center" wrapText="1"/>
      <protection locked="0"/>
    </xf>
    <xf numFmtId="1" fontId="34" fillId="0" borderId="31" xfId="0" applyNumberFormat="1" applyFont="1" applyBorder="1" applyAlignment="1" applyProtection="1">
      <alignment horizontal="center" vertical="center" wrapText="1"/>
      <protection locked="0"/>
    </xf>
    <xf numFmtId="1" fontId="34" fillId="0" borderId="28" xfId="0" applyNumberFormat="1" applyFont="1" applyFill="1" applyBorder="1" applyAlignment="1" applyProtection="1">
      <alignment horizontal="center" vertical="center" wrapText="1"/>
      <protection locked="0"/>
    </xf>
    <xf numFmtId="1" fontId="34" fillId="0" borderId="31" xfId="0" applyNumberFormat="1" applyFont="1" applyFill="1" applyBorder="1" applyAlignment="1" applyProtection="1">
      <alignment horizontal="center" vertical="center" wrapText="1"/>
      <protection locked="0"/>
    </xf>
    <xf numFmtId="1" fontId="34" fillId="0" borderId="29" xfId="0" applyNumberFormat="1" applyFont="1" applyBorder="1" applyAlignment="1" applyProtection="1">
      <alignment horizontal="center" vertical="center" wrapText="1"/>
      <protection locked="0"/>
    </xf>
    <xf numFmtId="1" fontId="34" fillId="0" borderId="32" xfId="0" applyNumberFormat="1" applyFont="1" applyBorder="1" applyAlignment="1" applyProtection="1">
      <alignment horizontal="center" vertical="center" wrapText="1"/>
      <protection locked="0"/>
    </xf>
    <xf numFmtId="0" fontId="49" fillId="8" borderId="0" xfId="0" applyFont="1" applyFill="1" applyBorder="1" applyAlignment="1">
      <alignment horizontal="center" vertical="center" wrapText="1"/>
    </xf>
    <xf numFmtId="0" fontId="30" fillId="0" borderId="38" xfId="0" applyFont="1" applyFill="1" applyBorder="1" applyAlignment="1" applyProtection="1">
      <alignment horizontal="center" vertical="center"/>
      <protection locked="0"/>
    </xf>
    <xf numFmtId="14" fontId="30" fillId="0" borderId="38" xfId="0" applyNumberFormat="1" applyFont="1" applyFill="1" applyBorder="1" applyAlignment="1" applyProtection="1">
      <alignment horizontal="center" vertical="center"/>
      <protection locked="0"/>
    </xf>
    <xf numFmtId="0" fontId="28" fillId="8" borderId="0" xfId="0" applyFont="1" applyFill="1" applyBorder="1" applyAlignment="1">
      <alignment horizontal="right" vertical="center"/>
    </xf>
    <xf numFmtId="0" fontId="37" fillId="8" borderId="14" xfId="0" applyFont="1" applyFill="1" applyBorder="1" applyAlignment="1" applyProtection="1">
      <alignment horizontal="left" vertical="center" wrapText="1"/>
      <protection/>
    </xf>
    <xf numFmtId="166" fontId="44" fillId="8" borderId="0" xfId="0" applyNumberFormat="1" applyFont="1" applyFill="1" applyBorder="1" applyAlignment="1">
      <alignment horizontal="center" vertical="center"/>
    </xf>
    <xf numFmtId="166" fontId="44" fillId="8" borderId="0" xfId="0" applyNumberFormat="1" applyFont="1" applyFill="1" applyBorder="1" applyAlignment="1" applyProtection="1">
      <alignment horizontal="center" vertical="center"/>
      <protection/>
    </xf>
    <xf numFmtId="166" fontId="44" fillId="8" borderId="0" xfId="0" applyNumberFormat="1" applyFont="1" applyFill="1" applyBorder="1" applyAlignment="1" applyProtection="1">
      <alignment horizontal="center" vertical="center" wrapText="1"/>
      <protection/>
    </xf>
    <xf numFmtId="166" fontId="44" fillId="8" borderId="14" xfId="0" applyNumberFormat="1" applyFont="1" applyFill="1" applyBorder="1" applyAlignment="1" applyProtection="1">
      <alignment horizontal="center" vertical="center" wrapText="1"/>
      <protection/>
    </xf>
    <xf numFmtId="0" fontId="29" fillId="0" borderId="39" xfId="0" applyFont="1" applyFill="1" applyBorder="1" applyAlignment="1" applyProtection="1">
      <alignment horizontal="center" vertical="center"/>
      <protection locked="0"/>
    </xf>
    <xf numFmtId="1" fontId="29" fillId="0" borderId="38" xfId="0" applyNumberFormat="1" applyFont="1" applyFill="1" applyBorder="1" applyAlignment="1" applyProtection="1">
      <alignment horizontal="center" vertical="center"/>
      <protection locked="0"/>
    </xf>
    <xf numFmtId="166" fontId="47" fillId="0" borderId="40" xfId="0" applyNumberFormat="1" applyFont="1" applyFill="1" applyBorder="1" applyAlignment="1" applyProtection="1">
      <alignment horizontal="center" vertical="center"/>
      <protection locked="0"/>
    </xf>
    <xf numFmtId="14" fontId="30" fillId="0" borderId="41" xfId="0" applyNumberFormat="1" applyFont="1" applyFill="1" applyBorder="1" applyAlignment="1" applyProtection="1">
      <alignment horizontal="center" vertical="center" wrapText="1"/>
      <protection locked="0"/>
    </xf>
    <xf numFmtId="0" fontId="62" fillId="8" borderId="13" xfId="0" applyFont="1" applyFill="1" applyBorder="1" applyAlignment="1">
      <alignment horizontal="right" vertical="center"/>
    </xf>
    <xf numFmtId="14" fontId="29" fillId="0" borderId="42" xfId="0" applyNumberFormat="1" applyFont="1" applyBorder="1" applyAlignment="1" applyProtection="1">
      <alignment horizontal="center" vertical="center" wrapText="1"/>
      <protection locked="0"/>
    </xf>
    <xf numFmtId="0" fontId="28" fillId="7" borderId="0"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46" fillId="8" borderId="20" xfId="0" applyFont="1" applyFill="1" applyBorder="1" applyAlignment="1">
      <alignment horizontal="center" vertical="center" wrapText="1"/>
    </xf>
    <xf numFmtId="2" fontId="44" fillId="8" borderId="20" xfId="0" applyNumberFormat="1" applyFont="1" applyFill="1" applyBorder="1" applyAlignment="1">
      <alignment horizontal="center" vertical="center" wrapText="1"/>
    </xf>
    <xf numFmtId="2" fontId="44" fillId="8" borderId="43" xfId="0" applyNumberFormat="1" applyFont="1" applyFill="1" applyBorder="1" applyAlignment="1">
      <alignment horizontal="center" vertical="center" wrapText="1"/>
    </xf>
    <xf numFmtId="0" fontId="44" fillId="8" borderId="44" xfId="0" applyFont="1" applyFill="1" applyBorder="1" applyAlignment="1">
      <alignment horizontal="center" vertical="center" wrapText="1"/>
    </xf>
    <xf numFmtId="0" fontId="35" fillId="7" borderId="14" xfId="0" applyFont="1" applyFill="1" applyBorder="1" applyAlignment="1">
      <alignment horizontal="right" vertical="center"/>
    </xf>
    <xf numFmtId="0" fontId="35" fillId="7" borderId="14" xfId="0" applyFont="1" applyFill="1" applyBorder="1" applyAlignment="1">
      <alignment horizontal="center" vertical="center"/>
    </xf>
    <xf numFmtId="14" fontId="24" fillId="7" borderId="14" xfId="0" applyNumberFormat="1" applyFont="1" applyFill="1" applyBorder="1" applyAlignment="1">
      <alignment horizontal="center" vertical="center"/>
    </xf>
    <xf numFmtId="0" fontId="30" fillId="8" borderId="13" xfId="0" applyFont="1" applyFill="1" applyBorder="1" applyAlignment="1">
      <alignment horizontal="center" vertical="center" wrapText="1"/>
    </xf>
    <xf numFmtId="0" fontId="30" fillId="8" borderId="0"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18" xfId="0" applyFont="1" applyFill="1" applyBorder="1" applyAlignment="1">
      <alignment horizontal="center" vertical="center" wrapText="1"/>
    </xf>
    <xf numFmtId="0" fontId="30" fillId="24" borderId="0" xfId="0" applyFont="1" applyFill="1" applyBorder="1" applyAlignment="1">
      <alignment/>
    </xf>
    <xf numFmtId="0" fontId="30" fillId="21" borderId="22" xfId="0" applyFont="1" applyFill="1" applyBorder="1" applyAlignment="1">
      <alignment horizontal="center" vertical="center" wrapText="1"/>
    </xf>
    <xf numFmtId="0" fontId="39" fillId="8" borderId="0" xfId="0" applyFont="1" applyFill="1" applyBorder="1" applyAlignment="1">
      <alignment horizontal="center" vertical="center" wrapText="1"/>
    </xf>
    <xf numFmtId="0" fontId="39" fillId="8" borderId="45" xfId="0" applyFont="1" applyFill="1" applyBorder="1" applyAlignment="1">
      <alignment horizontal="center" vertical="center" wrapText="1"/>
    </xf>
    <xf numFmtId="1" fontId="38" fillId="8" borderId="45" xfId="0" applyNumberFormat="1" applyFont="1" applyFill="1" applyBorder="1" applyAlignment="1">
      <alignment horizontal="center" vertical="center" wrapText="1"/>
    </xf>
    <xf numFmtId="0" fontId="37" fillId="8" borderId="0" xfId="0" applyFont="1" applyFill="1" applyBorder="1" applyAlignment="1">
      <alignment horizontal="left" vertical="center" wrapText="1"/>
    </xf>
    <xf numFmtId="0" fontId="37" fillId="8" borderId="0" xfId="0" applyFont="1" applyFill="1" applyBorder="1" applyAlignment="1">
      <alignment horizontal="right" vertical="center"/>
    </xf>
    <xf numFmtId="0" fontId="37" fillId="8" borderId="14" xfId="0" applyFont="1" applyFill="1" applyBorder="1" applyAlignment="1">
      <alignment horizontal="right" vertical="center"/>
    </xf>
    <xf numFmtId="0" fontId="37" fillId="8" borderId="20" xfId="0" applyFont="1" applyFill="1" applyBorder="1" applyAlignment="1">
      <alignment horizontal="left" vertical="center" wrapText="1"/>
    </xf>
    <xf numFmtId="0" fontId="37" fillId="8" borderId="45" xfId="0" applyFont="1" applyFill="1" applyBorder="1" applyAlignment="1">
      <alignment horizontal="left" vertical="center" wrapText="1"/>
    </xf>
    <xf numFmtId="0" fontId="37" fillId="8" borderId="13" xfId="0" applyFont="1" applyFill="1" applyBorder="1" applyAlignment="1">
      <alignment horizontal="right" vertical="center" wrapText="1"/>
    </xf>
    <xf numFmtId="166" fontId="64" fillId="8" borderId="43" xfId="0" applyNumberFormat="1" applyFont="1" applyFill="1" applyBorder="1" applyAlignment="1">
      <alignment horizontal="center" vertical="center"/>
    </xf>
    <xf numFmtId="166" fontId="64" fillId="8" borderId="12" xfId="0" applyNumberFormat="1" applyFont="1" applyFill="1" applyBorder="1" applyAlignment="1">
      <alignment horizontal="center" vertical="center"/>
    </xf>
    <xf numFmtId="166" fontId="64" fillId="8" borderId="46" xfId="0" applyNumberFormat="1" applyFont="1" applyFill="1" applyBorder="1" applyAlignment="1">
      <alignment horizontal="center" vertical="center"/>
    </xf>
    <xf numFmtId="0" fontId="35" fillId="7" borderId="13" xfId="0" applyFont="1" applyFill="1" applyBorder="1" applyAlignment="1">
      <alignment horizontal="right" wrapText="1"/>
    </xf>
    <xf numFmtId="14" fontId="24" fillId="7" borderId="0" xfId="0" applyNumberFormat="1" applyFont="1" applyFill="1" applyBorder="1" applyAlignment="1">
      <alignment horizontal="center" wrapText="1"/>
    </xf>
    <xf numFmtId="0" fontId="35" fillId="7" borderId="0" xfId="0" applyNumberFormat="1" applyFont="1" applyFill="1" applyBorder="1" applyAlignment="1">
      <alignment horizontal="center" wrapText="1"/>
    </xf>
    <xf numFmtId="0" fontId="41" fillId="7" borderId="0" xfId="0" applyFont="1" applyFill="1" applyBorder="1" applyAlignment="1">
      <alignment horizontal="center" wrapText="1"/>
    </xf>
    <xf numFmtId="0" fontId="35" fillId="7" borderId="0" xfId="0" applyFont="1" applyFill="1" applyBorder="1" applyAlignment="1">
      <alignment horizontal="right" wrapText="1"/>
    </xf>
    <xf numFmtId="165" fontId="35" fillId="7" borderId="0" xfId="0" applyNumberFormat="1" applyFont="1" applyFill="1" applyBorder="1" applyAlignment="1">
      <alignment horizontal="center" wrapText="1"/>
    </xf>
    <xf numFmtId="0" fontId="35" fillId="7" borderId="0" xfId="0" applyFont="1" applyFill="1" applyBorder="1" applyAlignment="1">
      <alignment horizontal="center"/>
    </xf>
    <xf numFmtId="0" fontId="41" fillId="7" borderId="0" xfId="0" applyFont="1" applyFill="1" applyBorder="1" applyAlignment="1">
      <alignment horizontal="center"/>
    </xf>
    <xf numFmtId="166" fontId="35" fillId="7" borderId="12" xfId="0" applyNumberFormat="1" applyFont="1" applyFill="1" applyBorder="1" applyAlignment="1">
      <alignment horizontal="center" wrapText="1"/>
    </xf>
    <xf numFmtId="0" fontId="48" fillId="21" borderId="13" xfId="0" applyFont="1" applyFill="1" applyBorder="1" applyAlignment="1">
      <alignment horizontal="center" vertical="center" wrapText="1"/>
    </xf>
    <xf numFmtId="0" fontId="29" fillId="0" borderId="22" xfId="0" applyNumberFormat="1" applyFont="1" applyBorder="1" applyAlignment="1" applyProtection="1">
      <alignment horizontal="center" vertical="center" wrapText="1"/>
      <protection locked="0"/>
    </xf>
    <xf numFmtId="1" fontId="37" fillId="8" borderId="12" xfId="0" applyNumberFormat="1" applyFont="1" applyFill="1" applyBorder="1" applyAlignment="1">
      <alignment horizontal="center" vertical="center"/>
    </xf>
    <xf numFmtId="0" fontId="74" fillId="7" borderId="0" xfId="0" applyFont="1" applyFill="1" applyBorder="1" applyAlignment="1">
      <alignment horizontal="center" vertical="center" wrapText="1"/>
    </xf>
    <xf numFmtId="0" fontId="74" fillId="7" borderId="14" xfId="0" applyFont="1" applyFill="1" applyBorder="1" applyAlignment="1">
      <alignment horizontal="center" vertical="center"/>
    </xf>
    <xf numFmtId="0" fontId="74" fillId="7" borderId="12" xfId="0" applyFont="1" applyFill="1" applyBorder="1" applyAlignment="1">
      <alignment horizontal="center" wrapText="1"/>
    </xf>
    <xf numFmtId="0" fontId="74" fillId="7" borderId="23" xfId="0" applyFont="1" applyFill="1" applyBorder="1" applyAlignment="1">
      <alignment horizontal="center" vertical="center"/>
    </xf>
    <xf numFmtId="1" fontId="67" fillId="8" borderId="12" xfId="0" applyNumberFormat="1" applyFont="1" applyFill="1" applyBorder="1" applyAlignment="1">
      <alignment horizontal="center" vertical="center" wrapText="1"/>
    </xf>
    <xf numFmtId="0" fontId="37" fillId="8" borderId="0" xfId="0" applyFont="1" applyFill="1" applyBorder="1" applyAlignment="1">
      <alignment horizontal="right"/>
    </xf>
    <xf numFmtId="0" fontId="67" fillId="8" borderId="12" xfId="0" applyFont="1" applyFill="1" applyBorder="1" applyAlignment="1">
      <alignment horizontal="center" wrapText="1"/>
    </xf>
    <xf numFmtId="14" fontId="29" fillId="8" borderId="12" xfId="0" applyNumberFormat="1" applyFont="1" applyFill="1" applyBorder="1" applyAlignment="1">
      <alignment horizontal="center"/>
    </xf>
    <xf numFmtId="1" fontId="56" fillId="7" borderId="47"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3" fillId="7" borderId="34" xfId="0" applyFont="1" applyFill="1" applyBorder="1" applyAlignment="1">
      <alignment horizontal="right" vertical="center" wrapText="1"/>
    </xf>
    <xf numFmtId="0" fontId="63" fillId="7" borderId="48" xfId="0" applyFont="1" applyFill="1" applyBorder="1" applyAlignment="1">
      <alignment horizontal="right" vertical="center" wrapText="1"/>
    </xf>
    <xf numFmtId="1" fontId="56" fillId="7" borderId="0" xfId="0" applyNumberFormat="1" applyFont="1" applyFill="1" applyBorder="1" applyAlignment="1">
      <alignment horizontal="center" vertical="center" wrapText="1"/>
    </xf>
    <xf numFmtId="0" fontId="29" fillId="8" borderId="16" xfId="0" applyFont="1" applyFill="1" applyBorder="1" applyAlignment="1">
      <alignment horizontal="center" vertical="center"/>
    </xf>
    <xf numFmtId="0" fontId="29" fillId="8" borderId="20" xfId="0" applyFont="1" applyFill="1" applyBorder="1" applyAlignment="1">
      <alignment horizontal="center" vertical="center"/>
    </xf>
    <xf numFmtId="0" fontId="29" fillId="8" borderId="17" xfId="0" applyFont="1" applyFill="1" applyBorder="1" applyAlignment="1">
      <alignment horizontal="center" vertical="center"/>
    </xf>
    <xf numFmtId="0" fontId="49" fillId="21" borderId="35" xfId="0" applyFont="1" applyFill="1" applyBorder="1" applyAlignment="1">
      <alignment horizontal="right" vertical="center" wrapText="1"/>
    </xf>
    <xf numFmtId="0" fontId="49" fillId="21" borderId="0" xfId="0" applyFont="1" applyFill="1" applyBorder="1" applyAlignment="1">
      <alignment horizontal="right" vertical="center" wrapText="1"/>
    </xf>
    <xf numFmtId="0" fontId="29" fillId="8" borderId="16"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6" fillId="21" borderId="35" xfId="0" applyFont="1" applyFill="1" applyBorder="1" applyAlignment="1">
      <alignment horizontal="center" vertical="center" wrapText="1"/>
    </xf>
    <xf numFmtId="0" fontId="26" fillId="21" borderId="0"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0" xfId="0" applyFont="1" applyBorder="1" applyAlignment="1">
      <alignment horizontal="center" vertical="center" wrapText="1"/>
    </xf>
    <xf numFmtId="0" fontId="26" fillId="21" borderId="49" xfId="0" applyFont="1" applyFill="1" applyBorder="1" applyAlignment="1">
      <alignment horizontal="center" vertical="center" wrapText="1"/>
    </xf>
    <xf numFmtId="0" fontId="26" fillId="21" borderId="14" xfId="0" applyFont="1" applyFill="1" applyBorder="1" applyAlignment="1">
      <alignment horizontal="center" vertical="center" wrapText="1"/>
    </xf>
    <xf numFmtId="0" fontId="57" fillId="7" borderId="50" xfId="0" applyFont="1" applyFill="1" applyBorder="1" applyAlignment="1">
      <alignment horizontal="center" vertical="center"/>
    </xf>
    <xf numFmtId="0" fontId="57" fillId="7" borderId="34" xfId="0" applyFont="1" applyFill="1" applyBorder="1" applyAlignment="1">
      <alignment horizontal="center" vertical="center"/>
    </xf>
    <xf numFmtId="0" fontId="27" fillId="21" borderId="14" xfId="0" applyFont="1" applyFill="1" applyBorder="1" applyAlignment="1">
      <alignment horizontal="right" vertical="center" wrapText="1"/>
    </xf>
    <xf numFmtId="0" fontId="28" fillId="21" borderId="14" xfId="0" applyFont="1" applyFill="1" applyBorder="1" applyAlignment="1">
      <alignment horizontal="right" vertical="center" wrapText="1"/>
    </xf>
    <xf numFmtId="0" fontId="28" fillId="0" borderId="18" xfId="0" applyFont="1" applyBorder="1" applyAlignment="1">
      <alignment/>
    </xf>
    <xf numFmtId="0" fontId="57" fillId="7" borderId="49" xfId="0" applyFont="1" applyFill="1" applyBorder="1" applyAlignment="1">
      <alignment horizontal="center" vertical="center"/>
    </xf>
    <xf numFmtId="22" fontId="63" fillId="7" borderId="34" xfId="0" applyNumberFormat="1" applyFont="1" applyFill="1" applyBorder="1" applyAlignment="1">
      <alignment horizontal="right" vertical="center"/>
    </xf>
    <xf numFmtId="0" fontId="62" fillId="7" borderId="34" xfId="0" applyFont="1" applyFill="1" applyBorder="1" applyAlignment="1">
      <alignment horizontal="center" vertical="center"/>
    </xf>
    <xf numFmtId="0" fontId="58" fillId="7" borderId="14" xfId="0" applyFont="1" applyFill="1" applyBorder="1" applyAlignment="1">
      <alignment horizontal="left" vertical="center"/>
    </xf>
    <xf numFmtId="0" fontId="58" fillId="7" borderId="23" xfId="0" applyFont="1" applyFill="1" applyBorder="1" applyAlignment="1">
      <alignment horizontal="left" vertical="center"/>
    </xf>
    <xf numFmtId="0" fontId="29" fillId="0" borderId="16" xfId="0" applyFont="1" applyFill="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57" fillId="8" borderId="16" xfId="0" applyFont="1" applyFill="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0" fillId="0" borderId="43" xfId="0"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vertical="center"/>
    </xf>
    <xf numFmtId="0" fontId="27" fillId="8" borderId="0" xfId="0" applyFont="1" applyFill="1" applyBorder="1" applyAlignment="1">
      <alignment horizontal="right" vertical="center"/>
    </xf>
    <xf numFmtId="0" fontId="26" fillId="0" borderId="0" xfId="0" applyFont="1" applyBorder="1" applyAlignment="1">
      <alignment horizontal="right" vertical="center"/>
    </xf>
    <xf numFmtId="0" fontId="26" fillId="8" borderId="0" xfId="0" applyFont="1" applyFill="1" applyBorder="1" applyAlignment="1">
      <alignment horizontal="right" vertical="center"/>
    </xf>
    <xf numFmtId="0" fontId="33" fillId="8" borderId="13" xfId="0" applyFont="1" applyFill="1" applyBorder="1" applyAlignment="1">
      <alignment horizontal="center" vertical="center" wrapText="1"/>
    </xf>
    <xf numFmtId="0" fontId="33" fillId="8" borderId="0" xfId="0" applyFont="1" applyFill="1" applyBorder="1" applyAlignment="1">
      <alignment horizontal="center" vertical="center" wrapText="1"/>
    </xf>
    <xf numFmtId="49" fontId="35" fillId="0" borderId="13" xfId="0" applyNumberFormat="1" applyFont="1" applyFill="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70" fillId="7" borderId="51" xfId="61" applyFont="1" applyFill="1" applyBorder="1" applyAlignment="1">
      <alignment horizontal="center" vertical="center"/>
    </xf>
    <xf numFmtId="0" fontId="71" fillId="7" borderId="51" xfId="0" applyFont="1" applyFill="1" applyBorder="1" applyAlignment="1">
      <alignment horizontal="center" vertical="center"/>
    </xf>
    <xf numFmtId="0" fontId="71" fillId="7" borderId="52" xfId="0" applyFont="1" applyFill="1" applyBorder="1" applyAlignment="1">
      <alignment horizontal="center" vertical="center"/>
    </xf>
    <xf numFmtId="0" fontId="43" fillId="7" borderId="53" xfId="0" applyFont="1" applyFill="1" applyBorder="1" applyAlignment="1">
      <alignment horizontal="center" vertical="center" wrapText="1"/>
    </xf>
    <xf numFmtId="0" fontId="43" fillId="7" borderId="54" xfId="0" applyFont="1" applyFill="1" applyBorder="1" applyAlignment="1">
      <alignment horizontal="center" vertical="center" wrapText="1"/>
    </xf>
    <xf numFmtId="0" fontId="73" fillId="0" borderId="54" xfId="0" applyFont="1" applyBorder="1" applyAlignment="1">
      <alignment horizontal="center" vertical="center"/>
    </xf>
    <xf numFmtId="0" fontId="28" fillId="21" borderId="0" xfId="0" applyFont="1" applyFill="1" applyBorder="1" applyAlignment="1">
      <alignment horizontal="right" vertical="center" wrapText="1"/>
    </xf>
    <xf numFmtId="0" fontId="26" fillId="0" borderId="0" xfId="0" applyFont="1" applyBorder="1" applyAlignment="1">
      <alignment horizontal="right" vertical="center" wrapText="1"/>
    </xf>
    <xf numFmtId="0" fontId="28" fillId="21" borderId="13" xfId="0" applyFont="1" applyFill="1" applyBorder="1" applyAlignment="1">
      <alignment horizontal="right" vertical="center"/>
    </xf>
    <xf numFmtId="0" fontId="0" fillId="0" borderId="0" xfId="0" applyBorder="1" applyAlignment="1">
      <alignment horizontal="right" vertical="center"/>
    </xf>
    <xf numFmtId="183" fontId="69" fillId="21" borderId="16" xfId="0" applyNumberFormat="1" applyFont="1" applyFill="1" applyBorder="1" applyAlignment="1" applyProtection="1">
      <alignment horizontal="center" vertical="center"/>
      <protection/>
    </xf>
    <xf numFmtId="0" fontId="72" fillId="0" borderId="20" xfId="0" applyFont="1" applyBorder="1" applyAlignment="1">
      <alignment horizontal="center" vertical="center"/>
    </xf>
    <xf numFmtId="0" fontId="72" fillId="0" borderId="43" xfId="0" applyFont="1" applyBorder="1" applyAlignment="1">
      <alignment horizontal="center" vertical="center"/>
    </xf>
    <xf numFmtId="0" fontId="37" fillId="21" borderId="0" xfId="0" applyFont="1" applyFill="1" applyBorder="1" applyAlignment="1">
      <alignment horizontal="right" vertical="center"/>
    </xf>
    <xf numFmtId="0" fontId="66" fillId="0" borderId="0" xfId="0" applyFont="1" applyBorder="1" applyAlignment="1">
      <alignment horizontal="right" vertical="center"/>
    </xf>
    <xf numFmtId="0" fontId="37" fillId="21" borderId="13" xfId="0" applyFont="1" applyFill="1" applyBorder="1" applyAlignment="1">
      <alignment horizontal="right" vertical="center" wrapText="1"/>
    </xf>
    <xf numFmtId="0" fontId="47" fillId="21" borderId="0" xfId="0" applyFont="1" applyFill="1" applyBorder="1" applyAlignment="1">
      <alignment horizontal="right" vertical="center" wrapText="1"/>
    </xf>
    <xf numFmtId="0" fontId="47" fillId="8" borderId="16" xfId="0" applyFont="1" applyFill="1" applyBorder="1" applyAlignment="1">
      <alignment horizontal="center" vertical="center"/>
    </xf>
    <xf numFmtId="0" fontId="58" fillId="8" borderId="17" xfId="0"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ΠΡΟ-ΜΚ"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152400</xdr:rowOff>
    </xdr:from>
    <xdr:to>
      <xdr:col>1</xdr:col>
      <xdr:colOff>342900</xdr:colOff>
      <xdr:row>0</xdr:row>
      <xdr:rowOff>533400</xdr:rowOff>
    </xdr:to>
    <xdr:pic>
      <xdr:nvPicPr>
        <xdr:cNvPr id="1" name="Picture 53"/>
        <xdr:cNvPicPr preferRelativeResize="1">
          <a:picLocks noChangeAspect="1"/>
        </xdr:cNvPicPr>
      </xdr:nvPicPr>
      <xdr:blipFill>
        <a:blip r:embed="rId1"/>
        <a:stretch>
          <a:fillRect/>
        </a:stretch>
      </xdr:blipFill>
      <xdr:spPr>
        <a:xfrm>
          <a:off x="19050" y="152400"/>
          <a:ext cx="8667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favita.gr/ank_b/proipiresia.xls"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1"/>
  <dimension ref="A1:AL69"/>
  <sheetViews>
    <sheetView tabSelected="1" zoomScale="112" zoomScaleNormal="112" workbookViewId="0" topLeftCell="K1">
      <selection activeCell="Y7" sqref="Y7:Z7"/>
    </sheetView>
  </sheetViews>
  <sheetFormatPr defaultColWidth="9.00390625" defaultRowHeight="12.75"/>
  <cols>
    <col min="1" max="1" width="7.125" style="0" customWidth="1"/>
    <col min="2" max="2" width="6.125" style="0" customWidth="1"/>
    <col min="3" max="3" width="6.625" style="0" customWidth="1"/>
    <col min="4" max="4" width="7.25390625" style="0" customWidth="1"/>
    <col min="6" max="6" width="9.625" style="0" customWidth="1"/>
    <col min="7" max="7" width="7.00390625" style="0" customWidth="1"/>
    <col min="8" max="8" width="9.625" style="0" customWidth="1"/>
    <col min="9" max="9" width="9.375" style="0" customWidth="1"/>
    <col min="10" max="11" width="6.375" style="0" customWidth="1"/>
    <col min="12" max="12" width="7.875" style="0" customWidth="1"/>
    <col min="13" max="13" width="7.125" style="0" customWidth="1"/>
    <col min="14" max="14" width="1.75390625" style="0" hidden="1" customWidth="1"/>
    <col min="15" max="15" width="2.00390625" style="0" hidden="1" customWidth="1"/>
    <col min="16" max="17" width="2.75390625" style="0" hidden="1" customWidth="1"/>
    <col min="18" max="18" width="2.875" style="0" hidden="1" customWidth="1"/>
    <col min="19" max="19" width="3.00390625" style="0" hidden="1" customWidth="1"/>
    <col min="20" max="20" width="4.25390625" style="0" hidden="1" customWidth="1"/>
    <col min="21" max="21" width="5.75390625" style="0" customWidth="1"/>
    <col min="22" max="22" width="5.00390625" style="0" customWidth="1"/>
    <col min="23" max="23" width="4.25390625" style="0" hidden="1" customWidth="1"/>
    <col min="24" max="24" width="12.625" style="0" customWidth="1"/>
    <col min="25" max="25" width="10.125" style="0" customWidth="1"/>
    <col min="26" max="26" width="10.75390625" style="0" customWidth="1"/>
    <col min="27" max="27" width="16.875" style="0" customWidth="1"/>
    <col min="28" max="28" width="13.00390625" style="0" customWidth="1"/>
  </cols>
  <sheetData>
    <row r="1" spans="1:38" ht="42.75" customHeight="1">
      <c r="A1" s="253" t="s">
        <v>45</v>
      </c>
      <c r="B1" s="254"/>
      <c r="C1" s="254"/>
      <c r="D1" s="254"/>
      <c r="E1" s="254"/>
      <c r="F1" s="254"/>
      <c r="G1" s="254"/>
      <c r="H1" s="254"/>
      <c r="I1" s="254"/>
      <c r="J1" s="254"/>
      <c r="K1" s="254"/>
      <c r="L1" s="254"/>
      <c r="M1" s="254"/>
      <c r="N1" s="255"/>
      <c r="O1" s="255"/>
      <c r="P1" s="255"/>
      <c r="Q1" s="255"/>
      <c r="R1" s="255"/>
      <c r="S1" s="255"/>
      <c r="T1" s="255"/>
      <c r="U1" s="255"/>
      <c r="V1" s="255"/>
      <c r="W1" s="255"/>
      <c r="X1" s="255"/>
      <c r="Y1" s="250" t="s">
        <v>40</v>
      </c>
      <c r="Z1" s="251"/>
      <c r="AA1" s="251"/>
      <c r="AB1" s="252"/>
      <c r="AC1" s="4"/>
      <c r="AD1" s="4"/>
      <c r="AE1" s="4"/>
      <c r="AF1" s="4"/>
      <c r="AG1" s="4"/>
      <c r="AH1" s="4"/>
      <c r="AI1" s="4"/>
      <c r="AJ1" s="4"/>
      <c r="AK1" s="4"/>
      <c r="AL1" s="4"/>
    </row>
    <row r="2" spans="1:38" ht="21.75" customHeight="1">
      <c r="A2" s="129"/>
      <c r="B2" s="207" t="s">
        <v>32</v>
      </c>
      <c r="C2" s="208"/>
      <c r="D2" s="209"/>
      <c r="E2" s="212" t="s">
        <v>33</v>
      </c>
      <c r="F2" s="213"/>
      <c r="G2" s="214"/>
      <c r="H2" s="212" t="s">
        <v>34</v>
      </c>
      <c r="I2" s="213"/>
      <c r="J2" s="213"/>
      <c r="K2" s="213"/>
      <c r="L2" s="214"/>
      <c r="M2" s="10"/>
      <c r="N2" s="11"/>
      <c r="O2" s="11"/>
      <c r="P2" s="11"/>
      <c r="Q2" s="12"/>
      <c r="R2" s="12"/>
      <c r="S2" s="12"/>
      <c r="T2" s="113"/>
      <c r="U2" s="267" t="s">
        <v>28</v>
      </c>
      <c r="V2" s="268"/>
      <c r="W2" s="69"/>
      <c r="X2" s="235" t="s">
        <v>41</v>
      </c>
      <c r="Y2" s="236"/>
      <c r="Z2" s="236"/>
      <c r="AA2" s="237"/>
      <c r="AB2" s="238"/>
      <c r="AC2" s="4"/>
      <c r="AD2" s="4"/>
      <c r="AE2" s="4"/>
      <c r="AF2" s="4"/>
      <c r="AG2" s="4"/>
      <c r="AH2" s="4"/>
      <c r="AI2" s="4"/>
      <c r="AJ2" s="4"/>
      <c r="AK2" s="4"/>
      <c r="AL2" s="4"/>
    </row>
    <row r="3" spans="1:38" s="1" customFormat="1" ht="21" customHeight="1">
      <c r="A3" s="124" t="s">
        <v>11</v>
      </c>
      <c r="B3" s="164" t="s">
        <v>0</v>
      </c>
      <c r="C3" s="165" t="s">
        <v>1</v>
      </c>
      <c r="D3" s="166" t="s">
        <v>2</v>
      </c>
      <c r="E3" s="164" t="s">
        <v>3</v>
      </c>
      <c r="F3" s="165" t="s">
        <v>4</v>
      </c>
      <c r="G3" s="166" t="s">
        <v>2</v>
      </c>
      <c r="H3" s="164" t="s">
        <v>5</v>
      </c>
      <c r="I3" s="165" t="s">
        <v>4</v>
      </c>
      <c r="J3" s="70" t="s">
        <v>10</v>
      </c>
      <c r="K3" s="70" t="s">
        <v>9</v>
      </c>
      <c r="L3" s="167" t="s">
        <v>2</v>
      </c>
      <c r="M3" s="169" t="s">
        <v>12</v>
      </c>
      <c r="N3" s="11"/>
      <c r="O3" s="11"/>
      <c r="P3" s="11"/>
      <c r="Q3" s="11"/>
      <c r="R3" s="11"/>
      <c r="S3" s="11"/>
      <c r="T3" s="168"/>
      <c r="U3" s="164" t="s">
        <v>2</v>
      </c>
      <c r="V3" s="97" t="s">
        <v>43</v>
      </c>
      <c r="W3" s="70"/>
      <c r="X3" s="239"/>
      <c r="Y3" s="240"/>
      <c r="Z3" s="240"/>
      <c r="AA3" s="241"/>
      <c r="AB3" s="242"/>
      <c r="AC3" s="7"/>
      <c r="AD3" s="7"/>
      <c r="AE3" s="7"/>
      <c r="AF3" s="7"/>
      <c r="AG3" s="7"/>
      <c r="AH3" s="7"/>
      <c r="AI3" s="7"/>
      <c r="AJ3" s="7"/>
      <c r="AK3" s="7"/>
      <c r="AL3" s="7"/>
    </row>
    <row r="4" spans="1:38" ht="12.75">
      <c r="A4" s="125">
        <v>1</v>
      </c>
      <c r="B4" s="130"/>
      <c r="C4" s="131"/>
      <c r="D4" s="98">
        <f>IF(OR(B4="",C4=""),"",(B4/C4)*6)</f>
      </c>
      <c r="E4" s="119"/>
      <c r="F4" s="116"/>
      <c r="G4" s="99">
        <f>IF(OR(E4="",F4=""),"",DAYS360(E4,F4+1))</f>
      </c>
      <c r="H4" s="119"/>
      <c r="I4" s="119"/>
      <c r="J4" s="122"/>
      <c r="K4" s="122"/>
      <c r="L4" s="83">
        <f>IF(OR(H4="",I4="",J4="",K4=""),"",DAYS360(H4,I4+1)*25/30*K4/J4)</f>
      </c>
      <c r="M4" s="86">
        <f>IF(SUM(N4:P4)=0,"",ROUNDDOWN(SUM(N4:P4),2))</f>
      </c>
      <c r="N4" s="14">
        <f>IF(D4="",0,D4/25)</f>
        <v>0</v>
      </c>
      <c r="O4" s="14">
        <f>IF(G4="",0,G4/30)</f>
        <v>0</v>
      </c>
      <c r="P4" s="14">
        <f>IF(L4="",0,L4/25)</f>
        <v>0</v>
      </c>
      <c r="Q4" s="15">
        <f>IF(D4="",0,D4)</f>
        <v>0</v>
      </c>
      <c r="R4" s="15">
        <f>IF(G4="",0,G4)</f>
        <v>0</v>
      </c>
      <c r="S4" s="15">
        <f>IF(L4="",0,L4)</f>
        <v>0</v>
      </c>
      <c r="T4" s="113"/>
      <c r="U4" s="100">
        <f>IF(SUM(N4:P4)=0,"",ROUND((Q4*30/25+R4+S4*30/25),0))</f>
      </c>
      <c r="V4" s="110"/>
      <c r="W4" s="71">
        <f>IF(V4=1,IF(SUM(N4:P4)=0,"",(Q4*30/25+R4+S4*30/25)),0)</f>
        <v>0</v>
      </c>
      <c r="X4" s="16" t="s">
        <v>16</v>
      </c>
      <c r="Y4" s="231" t="s">
        <v>58</v>
      </c>
      <c r="Z4" s="232"/>
      <c r="AA4" s="16" t="s">
        <v>20</v>
      </c>
      <c r="AB4" s="149" t="s">
        <v>62</v>
      </c>
      <c r="AC4" s="4"/>
      <c r="AD4" s="4"/>
      <c r="AE4" s="4"/>
      <c r="AF4" s="4"/>
      <c r="AG4" s="4"/>
      <c r="AH4" s="4"/>
      <c r="AI4" s="4"/>
      <c r="AJ4" s="4"/>
      <c r="AK4" s="4"/>
      <c r="AL4" s="4"/>
    </row>
    <row r="5" spans="1:38" ht="12.75">
      <c r="A5" s="125">
        <v>2</v>
      </c>
      <c r="B5" s="132"/>
      <c r="C5" s="133"/>
      <c r="D5" s="84">
        <f aca="true" t="shared" si="0" ref="D5:D36">IF(OR(B5="",C5=""),"",(B5/C5)*6)</f>
      </c>
      <c r="E5" s="120"/>
      <c r="F5" s="117"/>
      <c r="G5" s="85">
        <f aca="true" t="shared" si="1" ref="G5:G36">IF(OR(E5="",F5=""),"",DAYS360(E5,F5+1))</f>
      </c>
      <c r="H5" s="120"/>
      <c r="I5" s="120"/>
      <c r="J5" s="114"/>
      <c r="K5" s="114"/>
      <c r="L5" s="84">
        <f aca="true" t="shared" si="2" ref="L5:L36">IF(OR(H5="",I5="",J5="",K5=""),"",DAYS360(H5,I5+1)*25/30*K5/J5)</f>
      </c>
      <c r="M5" s="86">
        <f aca="true" t="shared" si="3" ref="M5:M36">IF(SUM(N5:P5)=0,"",ROUNDDOWN(SUM(N5:P5),2))</f>
      </c>
      <c r="N5" s="14">
        <f aca="true" t="shared" si="4" ref="N5:N36">IF(D5="",0,D5/25)</f>
        <v>0</v>
      </c>
      <c r="O5" s="14">
        <f aca="true" t="shared" si="5" ref="O5:O36">IF(G5="",0,G5/30)</f>
        <v>0</v>
      </c>
      <c r="P5" s="14">
        <f aca="true" t="shared" si="6" ref="P5:P36">IF(L5="",0,L5/25)</f>
        <v>0</v>
      </c>
      <c r="Q5" s="15">
        <f aca="true" t="shared" si="7" ref="Q5:Q36">IF(D5="",0,D5)</f>
        <v>0</v>
      </c>
      <c r="R5" s="15">
        <f aca="true" t="shared" si="8" ref="R5:R36">IF(G5="",0,G5)</f>
        <v>0</v>
      </c>
      <c r="S5" s="15">
        <f aca="true" t="shared" si="9" ref="S5:S36">IF(L5="",0,L5)</f>
        <v>0</v>
      </c>
      <c r="T5" s="113"/>
      <c r="U5" s="87">
        <f aca="true" t="shared" si="10" ref="U5:U36">IF(SUM(N5:P5)=0,"",ROUND((Q5*30/25+R5+S5*30/25),0))</f>
      </c>
      <c r="V5" s="111"/>
      <c r="W5" s="71">
        <f aca="true" t="shared" si="11" ref="W5:W36">IF(V5=1,IF(SUM(N5:P5)=0,"",(Q5*30/25+R5+S5*30/25)),0)</f>
        <v>0</v>
      </c>
      <c r="X5" s="16" t="s">
        <v>17</v>
      </c>
      <c r="Y5" s="233" t="s">
        <v>59</v>
      </c>
      <c r="Z5" s="234"/>
      <c r="AA5" s="16" t="s">
        <v>21</v>
      </c>
      <c r="AB5" s="141" t="s">
        <v>63</v>
      </c>
      <c r="AC5" s="4"/>
      <c r="AD5" s="4"/>
      <c r="AE5" s="4"/>
      <c r="AF5" s="4"/>
      <c r="AG5" s="4"/>
      <c r="AH5" s="4"/>
      <c r="AI5" s="4"/>
      <c r="AJ5" s="4"/>
      <c r="AK5" s="4"/>
      <c r="AL5" s="4"/>
    </row>
    <row r="6" spans="1:38" ht="12.75">
      <c r="A6" s="125">
        <v>3</v>
      </c>
      <c r="B6" s="132"/>
      <c r="C6" s="133"/>
      <c r="D6" s="84">
        <f t="shared" si="0"/>
      </c>
      <c r="E6" s="120"/>
      <c r="F6" s="117"/>
      <c r="G6" s="85">
        <f t="shared" si="1"/>
      </c>
      <c r="H6" s="120"/>
      <c r="I6" s="120"/>
      <c r="J6" s="114"/>
      <c r="K6" s="114"/>
      <c r="L6" s="84">
        <f t="shared" si="2"/>
      </c>
      <c r="M6" s="86">
        <f t="shared" si="3"/>
      </c>
      <c r="N6" s="14">
        <f t="shared" si="4"/>
        <v>0</v>
      </c>
      <c r="O6" s="14">
        <f t="shared" si="5"/>
        <v>0</v>
      </c>
      <c r="P6" s="14">
        <f t="shared" si="6"/>
        <v>0</v>
      </c>
      <c r="Q6" s="15">
        <f t="shared" si="7"/>
        <v>0</v>
      </c>
      <c r="R6" s="15">
        <f t="shared" si="8"/>
        <v>0</v>
      </c>
      <c r="S6" s="15">
        <f t="shared" si="9"/>
        <v>0</v>
      </c>
      <c r="T6" s="113"/>
      <c r="U6" s="87">
        <f t="shared" si="10"/>
      </c>
      <c r="V6" s="111"/>
      <c r="W6" s="71">
        <f t="shared" si="11"/>
        <v>0</v>
      </c>
      <c r="X6" s="16" t="s">
        <v>18</v>
      </c>
      <c r="Y6" s="233" t="s">
        <v>60</v>
      </c>
      <c r="Z6" s="234"/>
      <c r="AA6" s="16" t="s">
        <v>49</v>
      </c>
      <c r="AB6" s="141"/>
      <c r="AC6" s="4"/>
      <c r="AD6" s="4"/>
      <c r="AE6" s="4"/>
      <c r="AF6" s="4"/>
      <c r="AG6" s="4"/>
      <c r="AH6" s="4"/>
      <c r="AI6" s="4"/>
      <c r="AJ6" s="4"/>
      <c r="AK6" s="4"/>
      <c r="AL6" s="4"/>
    </row>
    <row r="7" spans="1:38" ht="12.75">
      <c r="A7" s="125">
        <v>4</v>
      </c>
      <c r="B7" s="132"/>
      <c r="C7" s="133"/>
      <c r="D7" s="84">
        <f t="shared" si="0"/>
      </c>
      <c r="E7" s="120"/>
      <c r="F7" s="117"/>
      <c r="G7" s="85">
        <f t="shared" si="1"/>
      </c>
      <c r="H7" s="120"/>
      <c r="I7" s="120"/>
      <c r="J7" s="114"/>
      <c r="K7" s="114"/>
      <c r="L7" s="84">
        <f t="shared" si="2"/>
      </c>
      <c r="M7" s="86">
        <f t="shared" si="3"/>
      </c>
      <c r="N7" s="14">
        <f t="shared" si="4"/>
        <v>0</v>
      </c>
      <c r="O7" s="14">
        <f t="shared" si="5"/>
        <v>0</v>
      </c>
      <c r="P7" s="14">
        <f t="shared" si="6"/>
        <v>0</v>
      </c>
      <c r="Q7" s="15">
        <f t="shared" si="7"/>
        <v>0</v>
      </c>
      <c r="R7" s="15">
        <f t="shared" si="8"/>
        <v>0</v>
      </c>
      <c r="S7" s="15">
        <f t="shared" si="9"/>
        <v>0</v>
      </c>
      <c r="T7" s="113"/>
      <c r="U7" s="87">
        <f t="shared" si="10"/>
      </c>
      <c r="V7" s="111"/>
      <c r="W7" s="71">
        <f t="shared" si="11"/>
        <v>0</v>
      </c>
      <c r="X7" s="20" t="s">
        <v>48</v>
      </c>
      <c r="Y7" s="233"/>
      <c r="Z7" s="234"/>
      <c r="AA7" s="16" t="s">
        <v>51</v>
      </c>
      <c r="AB7" s="142">
        <v>20052</v>
      </c>
      <c r="AC7" s="4"/>
      <c r="AD7" s="4"/>
      <c r="AE7" s="4"/>
      <c r="AF7" s="4"/>
      <c r="AG7" s="4"/>
      <c r="AH7" s="4"/>
      <c r="AI7" s="4"/>
      <c r="AJ7" s="4"/>
      <c r="AK7" s="4"/>
      <c r="AL7" s="4"/>
    </row>
    <row r="8" spans="1:38" ht="12.75">
      <c r="A8" s="125">
        <v>5</v>
      </c>
      <c r="B8" s="134"/>
      <c r="C8" s="135"/>
      <c r="D8" s="84">
        <f t="shared" si="0"/>
      </c>
      <c r="E8" s="120"/>
      <c r="F8" s="117"/>
      <c r="G8" s="85">
        <f t="shared" si="1"/>
      </c>
      <c r="H8" s="120"/>
      <c r="I8" s="120"/>
      <c r="J8" s="114"/>
      <c r="K8" s="114"/>
      <c r="L8" s="84">
        <f t="shared" si="2"/>
      </c>
      <c r="M8" s="86">
        <f t="shared" si="3"/>
      </c>
      <c r="N8" s="14">
        <f t="shared" si="4"/>
        <v>0</v>
      </c>
      <c r="O8" s="14">
        <f t="shared" si="5"/>
        <v>0</v>
      </c>
      <c r="P8" s="14">
        <f t="shared" si="6"/>
        <v>0</v>
      </c>
      <c r="Q8" s="15">
        <f t="shared" si="7"/>
        <v>0</v>
      </c>
      <c r="R8" s="15">
        <f t="shared" si="8"/>
        <v>0</v>
      </c>
      <c r="S8" s="15">
        <f t="shared" si="9"/>
        <v>0</v>
      </c>
      <c r="T8" s="113"/>
      <c r="U8" s="87">
        <f t="shared" si="10"/>
      </c>
      <c r="V8" s="111"/>
      <c r="W8" s="71">
        <f t="shared" si="11"/>
        <v>0</v>
      </c>
      <c r="X8" s="16" t="s">
        <v>19</v>
      </c>
      <c r="Y8" s="248" t="s">
        <v>61</v>
      </c>
      <c r="Z8" s="249"/>
      <c r="AA8" s="16" t="s">
        <v>36</v>
      </c>
      <c r="AB8" s="141">
        <v>2492023219</v>
      </c>
      <c r="AC8" s="4"/>
      <c r="AD8" s="4"/>
      <c r="AE8" s="4"/>
      <c r="AF8" s="4"/>
      <c r="AG8" s="4"/>
      <c r="AH8" s="4"/>
      <c r="AI8" s="4"/>
      <c r="AJ8" s="4"/>
      <c r="AK8" s="4"/>
      <c r="AL8" s="4"/>
    </row>
    <row r="9" spans="1:38" ht="14.25" customHeight="1">
      <c r="A9" s="125">
        <v>6</v>
      </c>
      <c r="B9" s="134"/>
      <c r="C9" s="135"/>
      <c r="D9" s="84">
        <f t="shared" si="0"/>
      </c>
      <c r="E9" s="120"/>
      <c r="F9" s="117"/>
      <c r="G9" s="85">
        <f t="shared" si="1"/>
      </c>
      <c r="H9" s="120"/>
      <c r="I9" s="120"/>
      <c r="J9" s="114"/>
      <c r="K9" s="114"/>
      <c r="L9" s="84">
        <f t="shared" si="2"/>
      </c>
      <c r="M9" s="86">
        <f t="shared" si="3"/>
      </c>
      <c r="N9" s="14">
        <f t="shared" si="4"/>
        <v>0</v>
      </c>
      <c r="O9" s="14">
        <f t="shared" si="5"/>
        <v>0</v>
      </c>
      <c r="P9" s="14">
        <f t="shared" si="6"/>
        <v>0</v>
      </c>
      <c r="Q9" s="15">
        <f t="shared" si="7"/>
        <v>0</v>
      </c>
      <c r="R9" s="15">
        <f t="shared" si="8"/>
        <v>0</v>
      </c>
      <c r="S9" s="15">
        <f t="shared" si="9"/>
        <v>0</v>
      </c>
      <c r="T9" s="113"/>
      <c r="U9" s="87">
        <f t="shared" si="10"/>
      </c>
      <c r="V9" s="111"/>
      <c r="W9" s="71">
        <f t="shared" si="11"/>
        <v>0</v>
      </c>
      <c r="X9" s="17" t="s">
        <v>14</v>
      </c>
      <c r="Y9" s="18" t="s">
        <v>57</v>
      </c>
      <c r="Z9" s="154">
        <v>30195</v>
      </c>
      <c r="AA9" s="19" t="s">
        <v>29</v>
      </c>
      <c r="AB9" s="141" t="s">
        <v>64</v>
      </c>
      <c r="AC9" s="4"/>
      <c r="AD9" s="4"/>
      <c r="AE9" s="4"/>
      <c r="AF9" s="4"/>
      <c r="AG9" s="4"/>
      <c r="AH9" s="4"/>
      <c r="AI9" s="4"/>
      <c r="AJ9" s="4"/>
      <c r="AK9" s="4"/>
      <c r="AL9" s="4"/>
    </row>
    <row r="10" spans="1:38" ht="12.75">
      <c r="A10" s="125">
        <v>7</v>
      </c>
      <c r="B10" s="134"/>
      <c r="C10" s="135"/>
      <c r="D10" s="84">
        <f t="shared" si="0"/>
      </c>
      <c r="E10" s="120"/>
      <c r="F10" s="117"/>
      <c r="G10" s="85">
        <f t="shared" si="1"/>
      </c>
      <c r="H10" s="120"/>
      <c r="I10" s="120"/>
      <c r="J10" s="114"/>
      <c r="K10" s="114"/>
      <c r="L10" s="84">
        <f t="shared" si="2"/>
      </c>
      <c r="M10" s="86">
        <f t="shared" si="3"/>
      </c>
      <c r="N10" s="14">
        <f t="shared" si="4"/>
        <v>0</v>
      </c>
      <c r="O10" s="14">
        <f t="shared" si="5"/>
        <v>0</v>
      </c>
      <c r="P10" s="14">
        <f t="shared" si="6"/>
        <v>0</v>
      </c>
      <c r="Q10" s="15">
        <f t="shared" si="7"/>
        <v>0</v>
      </c>
      <c r="R10" s="15">
        <f t="shared" si="8"/>
        <v>0</v>
      </c>
      <c r="S10" s="15">
        <f t="shared" si="9"/>
        <v>0</v>
      </c>
      <c r="T10" s="113"/>
      <c r="U10" s="87">
        <f t="shared" si="10"/>
      </c>
      <c r="V10" s="111"/>
      <c r="W10" s="71">
        <f t="shared" si="11"/>
        <v>0</v>
      </c>
      <c r="X10" s="243" t="s">
        <v>22</v>
      </c>
      <c r="Y10" s="244"/>
      <c r="Z10" s="192"/>
      <c r="AA10" s="143" t="s">
        <v>50</v>
      </c>
      <c r="AB10" s="150"/>
      <c r="AC10" s="4"/>
      <c r="AD10" s="4"/>
      <c r="AE10" s="4"/>
      <c r="AF10" s="4"/>
      <c r="AG10" s="4"/>
      <c r="AH10" s="4"/>
      <c r="AI10" s="4"/>
      <c r="AJ10" s="4"/>
      <c r="AK10" s="4"/>
      <c r="AL10" s="4"/>
    </row>
    <row r="11" spans="1:38" ht="12.75">
      <c r="A11" s="125">
        <v>8</v>
      </c>
      <c r="B11" s="134"/>
      <c r="C11" s="135"/>
      <c r="D11" s="84">
        <f t="shared" si="0"/>
      </c>
      <c r="E11" s="120"/>
      <c r="F11" s="117"/>
      <c r="G11" s="85">
        <f t="shared" si="1"/>
      </c>
      <c r="H11" s="120"/>
      <c r="I11" s="120"/>
      <c r="J11" s="114"/>
      <c r="K11" s="114"/>
      <c r="L11" s="84">
        <f t="shared" si="2"/>
      </c>
      <c r="M11" s="86">
        <f t="shared" si="3"/>
      </c>
      <c r="N11" s="14">
        <f t="shared" si="4"/>
        <v>0</v>
      </c>
      <c r="O11" s="14">
        <f t="shared" si="5"/>
        <v>0</v>
      </c>
      <c r="P11" s="14">
        <f t="shared" si="6"/>
        <v>0</v>
      </c>
      <c r="Q11" s="15">
        <f t="shared" si="7"/>
        <v>0</v>
      </c>
      <c r="R11" s="15">
        <f t="shared" si="8"/>
        <v>0</v>
      </c>
      <c r="S11" s="15">
        <f t="shared" si="9"/>
        <v>0</v>
      </c>
      <c r="T11" s="113"/>
      <c r="U11" s="87">
        <f t="shared" si="10"/>
      </c>
      <c r="V11" s="111"/>
      <c r="W11" s="71">
        <f t="shared" si="11"/>
        <v>0</v>
      </c>
      <c r="X11" s="243" t="s">
        <v>52</v>
      </c>
      <c r="Y11" s="245"/>
      <c r="Z11" s="152"/>
      <c r="AA11" s="153">
        <f>IF(AB10=1,"Ημ/νία Κτήσης Μεταπ/κού",IF(AB10=2,"Ημ/νία Κτήσης Διδακ/κού",""))</f>
      </c>
      <c r="AB11" s="151"/>
      <c r="AC11" s="4"/>
      <c r="AD11" s="4"/>
      <c r="AE11" s="4"/>
      <c r="AF11" s="4"/>
      <c r="AG11" s="4"/>
      <c r="AH11" s="4"/>
      <c r="AI11" s="4"/>
      <c r="AJ11" s="4"/>
      <c r="AK11" s="4"/>
      <c r="AL11" s="4"/>
    </row>
    <row r="12" spans="1:38" ht="12.75">
      <c r="A12" s="125">
        <v>9</v>
      </c>
      <c r="B12" s="134"/>
      <c r="C12" s="135"/>
      <c r="D12" s="84">
        <f t="shared" si="0"/>
      </c>
      <c r="E12" s="120"/>
      <c r="F12" s="117"/>
      <c r="G12" s="85">
        <f t="shared" si="1"/>
      </c>
      <c r="H12" s="120"/>
      <c r="I12" s="120"/>
      <c r="J12" s="114"/>
      <c r="K12" s="114"/>
      <c r="L12" s="84">
        <f t="shared" si="2"/>
      </c>
      <c r="M12" s="86">
        <f t="shared" si="3"/>
      </c>
      <c r="N12" s="14">
        <f t="shared" si="4"/>
        <v>0</v>
      </c>
      <c r="O12" s="14">
        <f t="shared" si="5"/>
        <v>0</v>
      </c>
      <c r="P12" s="14">
        <f t="shared" si="6"/>
        <v>0</v>
      </c>
      <c r="Q12" s="15">
        <f t="shared" si="7"/>
        <v>0</v>
      </c>
      <c r="R12" s="15">
        <f t="shared" si="8"/>
        <v>0</v>
      </c>
      <c r="S12" s="15">
        <f t="shared" si="9"/>
        <v>0</v>
      </c>
      <c r="T12" s="113"/>
      <c r="U12" s="87">
        <f t="shared" si="10"/>
      </c>
      <c r="V12" s="111"/>
      <c r="W12" s="71">
        <f t="shared" si="11"/>
        <v>0</v>
      </c>
      <c r="X12" s="178" t="s">
        <v>15</v>
      </c>
      <c r="Y12" s="31">
        <f>INT(H42/12)</f>
        <v>0</v>
      </c>
      <c r="Z12" s="176" t="s">
        <v>47</v>
      </c>
      <c r="AA12" s="174" t="str">
        <f>IF(Z11="",IF(Z9="","","Βαθμός Γ'"),"")</f>
        <v>Βαθμός Γ'</v>
      </c>
      <c r="AB12" s="179">
        <f>IF(Z11="",IF(Z9="","",Z9),"")</f>
        <v>30195</v>
      </c>
      <c r="AC12" s="4"/>
      <c r="AD12" s="4"/>
      <c r="AE12" s="4"/>
      <c r="AF12" s="4"/>
      <c r="AG12" s="4"/>
      <c r="AH12" s="4"/>
      <c r="AI12" s="4"/>
      <c r="AJ12" s="4"/>
      <c r="AK12" s="4"/>
      <c r="AL12" s="4"/>
    </row>
    <row r="13" spans="1:38" ht="12.75">
      <c r="A13" s="125">
        <v>10</v>
      </c>
      <c r="B13" s="134"/>
      <c r="C13" s="135"/>
      <c r="D13" s="84">
        <f t="shared" si="0"/>
      </c>
      <c r="E13" s="120"/>
      <c r="F13" s="117"/>
      <c r="G13" s="85">
        <f t="shared" si="1"/>
      </c>
      <c r="H13" s="120"/>
      <c r="I13" s="120"/>
      <c r="J13" s="114"/>
      <c r="K13" s="114"/>
      <c r="L13" s="84">
        <f t="shared" si="2"/>
      </c>
      <c r="M13" s="86">
        <f t="shared" si="3"/>
      </c>
      <c r="N13" s="14">
        <f t="shared" si="4"/>
        <v>0</v>
      </c>
      <c r="O13" s="14">
        <f t="shared" si="5"/>
        <v>0</v>
      </c>
      <c r="P13" s="14">
        <f t="shared" si="6"/>
        <v>0</v>
      </c>
      <c r="Q13" s="15">
        <f t="shared" si="7"/>
        <v>0</v>
      </c>
      <c r="R13" s="15">
        <f t="shared" si="8"/>
        <v>0</v>
      </c>
      <c r="S13" s="15">
        <f t="shared" si="9"/>
        <v>0</v>
      </c>
      <c r="T13" s="113"/>
      <c r="U13" s="87">
        <f t="shared" si="10"/>
      </c>
      <c r="V13" s="111"/>
      <c r="W13" s="71">
        <f t="shared" si="11"/>
        <v>0</v>
      </c>
      <c r="X13" s="170">
        <f>IF(Y12=14,11,IF(OR(Y12=15,Y12=16,),10,IF(OR(Y12=17,Y12=18,),9,IF(OR(Y12=19,Y12=20,),8,IF(OR(Y12=21,Y12=22,),7,IF(OR(Y12=23,Y12=24,),6,IF(OR(Y12=25,Y12=26,),5,IF(Y12=27,4,X14))))))))</f>
      </c>
      <c r="Y13" s="31">
        <f>IF(Y12=0,H42,(H42/12-Y12)*12)</f>
        <v>0</v>
      </c>
      <c r="Z13" s="173" t="s">
        <v>12</v>
      </c>
      <c r="AA13" s="174" t="str">
        <f>IF(Z11="",IF(Z9="","","Βαθμός Β'"),"")</f>
        <v>Βαθμός Β'</v>
      </c>
      <c r="AB13" s="180">
        <f>IF(Z11="",IF(Z9="","",IF(OR(AB10="",AB11=""),X22,IF(AB11&lt;=X23,X23,IF(AB11&gt;=X22,X22,X24)))),"")</f>
        <v>30926</v>
      </c>
      <c r="AC13" s="4"/>
      <c r="AD13" s="4"/>
      <c r="AE13" s="4"/>
      <c r="AF13" s="4"/>
      <c r="AG13" s="4"/>
      <c r="AH13" s="4"/>
      <c r="AI13" s="4"/>
      <c r="AJ13" s="4"/>
      <c r="AK13" s="4"/>
      <c r="AL13" s="4"/>
    </row>
    <row r="14" spans="1:38" ht="12.75">
      <c r="A14" s="125">
        <v>11</v>
      </c>
      <c r="B14" s="134"/>
      <c r="C14" s="135"/>
      <c r="D14" s="84">
        <f t="shared" si="0"/>
      </c>
      <c r="E14" s="120"/>
      <c r="F14" s="117"/>
      <c r="G14" s="85">
        <f t="shared" si="1"/>
      </c>
      <c r="H14" s="120"/>
      <c r="I14" s="120"/>
      <c r="J14" s="114"/>
      <c r="K14" s="114"/>
      <c r="L14" s="84">
        <f t="shared" si="2"/>
      </c>
      <c r="M14" s="86">
        <f t="shared" si="3"/>
      </c>
      <c r="N14" s="14">
        <f t="shared" si="4"/>
        <v>0</v>
      </c>
      <c r="O14" s="14">
        <f t="shared" si="5"/>
        <v>0</v>
      </c>
      <c r="P14" s="14">
        <f t="shared" si="6"/>
        <v>0</v>
      </c>
      <c r="Q14" s="15">
        <f t="shared" si="7"/>
        <v>0</v>
      </c>
      <c r="R14" s="15">
        <f t="shared" si="8"/>
        <v>0</v>
      </c>
      <c r="S14" s="15">
        <f t="shared" si="9"/>
        <v>0</v>
      </c>
      <c r="T14" s="113"/>
      <c r="U14" s="87">
        <f t="shared" si="10"/>
      </c>
      <c r="V14" s="111"/>
      <c r="W14" s="71">
        <f t="shared" si="11"/>
        <v>0</v>
      </c>
      <c r="X14" s="171">
        <f>IF(Y12=28,4,IF(OR(Y12=29,Y12=30,),3,IF(OR(Y12=31,Y12=32,),2,IF(OR(Y12=33,Y12=34,),1,IF(OR(Y12=35,Y12=36,),1,IF(OR(Y12=37,Y12=38,),1,IF(OR(Y12=39,Y12=40,),1,IF(Y12=41,1,""))))))))</f>
      </c>
      <c r="Y14" s="172">
        <f>K42</f>
        <v>0</v>
      </c>
      <c r="Z14" s="177" t="s">
        <v>2</v>
      </c>
      <c r="AA14" s="175" t="str">
        <f>IF(Z11="",IF(Z9="","","Βαθμός Α'"),"")</f>
        <v>Βαθμός Α'</v>
      </c>
      <c r="AB14" s="181">
        <f>IF(Z11="",IF(Z9="","",IF(AB10=1,Z26,IF(AB10=2,Z27,X25))),"")</f>
        <v>33117</v>
      </c>
      <c r="AC14" s="4"/>
      <c r="AD14" s="4"/>
      <c r="AE14" s="4"/>
      <c r="AF14" s="4"/>
      <c r="AG14" s="4"/>
      <c r="AH14" s="4"/>
      <c r="AI14" s="4"/>
      <c r="AJ14" s="4"/>
      <c r="AK14" s="4"/>
      <c r="AL14" s="4"/>
    </row>
    <row r="15" spans="1:38" ht="12.75" customHeight="1">
      <c r="A15" s="125">
        <v>12</v>
      </c>
      <c r="B15" s="134"/>
      <c r="C15" s="135"/>
      <c r="D15" s="84">
        <f t="shared" si="0"/>
      </c>
      <c r="E15" s="120"/>
      <c r="F15" s="117"/>
      <c r="G15" s="85">
        <f t="shared" si="1"/>
      </c>
      <c r="H15" s="120"/>
      <c r="I15" s="120"/>
      <c r="J15" s="114"/>
      <c r="K15" s="114"/>
      <c r="L15" s="84">
        <f t="shared" si="2"/>
      </c>
      <c r="M15" s="86">
        <f t="shared" si="3"/>
      </c>
      <c r="N15" s="14">
        <f t="shared" si="4"/>
        <v>0</v>
      </c>
      <c r="O15" s="14">
        <f t="shared" si="5"/>
        <v>0</v>
      </c>
      <c r="P15" s="14">
        <f t="shared" si="6"/>
        <v>0</v>
      </c>
      <c r="Q15" s="15">
        <f t="shared" si="7"/>
        <v>0</v>
      </c>
      <c r="R15" s="15">
        <f t="shared" si="8"/>
        <v>0</v>
      </c>
      <c r="S15" s="15">
        <f t="shared" si="9"/>
        <v>0</v>
      </c>
      <c r="T15" s="113"/>
      <c r="U15" s="87">
        <f t="shared" si="10"/>
      </c>
      <c r="V15" s="111"/>
      <c r="W15" s="71">
        <f t="shared" si="11"/>
        <v>0</v>
      </c>
      <c r="X15" s="21" t="s">
        <v>55</v>
      </c>
      <c r="Y15" s="194">
        <f>IF(Y12=0,18,IF(OR(Y12=1,Y12=2,),17,IF(OR(Y12=3,Y12=4,),16,IF(OR(Y12=5,Y12=6,),15,IF(OR(Y12=7,Y12=8,),14,IF(OR(Y12=9,Y12=10,),13,IF(OR(Y12=11,Y12=12,),12,IF(Y12=13,11,X13))))))))</f>
        <v>18</v>
      </c>
      <c r="Z15" s="23" t="str">
        <f>IF(Y12="","",IF(Z9="","","ΠΕ18"))</f>
        <v>ΠΕ18</v>
      </c>
      <c r="AA15" s="24" t="str">
        <f>IF(Y12="","",IF(Z9="","","την ημ/νία διορισμού"))</f>
        <v>την ημ/νία διορισμού</v>
      </c>
      <c r="AB15" s="25">
        <f>IF(Y12="","",IF(Z9=0/1/1900,"",Z9))</f>
        <v>30195</v>
      </c>
      <c r="AC15" s="4"/>
      <c r="AD15" s="4"/>
      <c r="AE15" s="4"/>
      <c r="AF15" s="4"/>
      <c r="AG15" s="4"/>
      <c r="AH15" s="4"/>
      <c r="AI15" s="4"/>
      <c r="AJ15" s="4"/>
      <c r="AK15" s="4"/>
      <c r="AL15" s="4"/>
    </row>
    <row r="16" spans="1:38" ht="12.75">
      <c r="A16" s="125">
        <v>13</v>
      </c>
      <c r="B16" s="134"/>
      <c r="C16" s="135"/>
      <c r="D16" s="84">
        <f t="shared" si="0"/>
      </c>
      <c r="E16" s="120"/>
      <c r="F16" s="117"/>
      <c r="G16" s="85">
        <f t="shared" si="1"/>
      </c>
      <c r="H16" s="120"/>
      <c r="I16" s="120"/>
      <c r="J16" s="114"/>
      <c r="K16" s="114"/>
      <c r="L16" s="84">
        <f t="shared" si="2"/>
      </c>
      <c r="M16" s="86">
        <f t="shared" si="3"/>
      </c>
      <c r="N16" s="14">
        <f t="shared" si="4"/>
        <v>0</v>
      </c>
      <c r="O16" s="14">
        <f t="shared" si="5"/>
        <v>0</v>
      </c>
      <c r="P16" s="14">
        <f t="shared" si="6"/>
        <v>0</v>
      </c>
      <c r="Q16" s="15">
        <f t="shared" si="7"/>
        <v>0</v>
      </c>
      <c r="R16" s="15">
        <f t="shared" si="8"/>
        <v>0</v>
      </c>
      <c r="S16" s="15">
        <f t="shared" si="9"/>
        <v>0</v>
      </c>
      <c r="T16" s="113"/>
      <c r="U16" s="87">
        <f t="shared" si="10"/>
      </c>
      <c r="V16" s="111"/>
      <c r="W16" s="71">
        <f t="shared" si="11"/>
        <v>0</v>
      </c>
      <c r="X16" s="186">
        <f>IF(OR(Z11="",Z9=""),"","Αλλαγή Μ/κ σε")</f>
      </c>
      <c r="Y16" s="187">
        <f>IF(OR(Z9="",Z11=""),"",IF(OR(Y12=0,Y12=2,Y12=4,Y12=6,Y12=8,Y12=10,Y12=12,Y12=14,Y12=16,Y12=18,Y12=20,Y12=22,Y12=24,Y12=26,Y12=28,Y12=30,Y12=32),360-(Y13*30+Y14),IF(OR(Y12=1,Y12=3,Y12=5,Y12=7,Y12=9,Y12=11,Y12=13,Y12=15,Y12=17,Y12=19,Y12=21,Y12=23,Y12=25,Y12=27,Y12=29,Y12=31,),720-(Y13*30+Y14),"")))</f>
      </c>
      <c r="Z16" s="188">
        <f>IF(Z11="","",IF(OR(Z9="",Y15=1,Y15=""),"",IF(Z17="αλλάζει","μέρες εντός","μέρες  εκτός")))</f>
      </c>
      <c r="AA16" s="189">
        <f>IF(OR(Z9="",Z11=""),"","του διδακτικού έτους")</f>
      </c>
      <c r="AB16" s="190">
        <f>IF(Z11="","",IF(Z9="","",IF(OR(Y15=1,Y15="",S14=""),"",Z11)))</f>
      </c>
      <c r="AC16" s="4"/>
      <c r="AD16" s="4"/>
      <c r="AE16" s="4"/>
      <c r="AF16" s="4"/>
      <c r="AG16" s="4"/>
      <c r="AH16" s="4"/>
      <c r="AI16" s="4"/>
      <c r="AJ16" s="4"/>
      <c r="AK16" s="4"/>
      <c r="AL16" s="4"/>
    </row>
    <row r="17" spans="1:38" ht="14.25" customHeight="1">
      <c r="A17" s="125">
        <v>14</v>
      </c>
      <c r="B17" s="134"/>
      <c r="C17" s="135"/>
      <c r="D17" s="84">
        <f t="shared" si="0"/>
      </c>
      <c r="E17" s="120"/>
      <c r="F17" s="117"/>
      <c r="G17" s="85">
        <f t="shared" si="1"/>
      </c>
      <c r="H17" s="120"/>
      <c r="I17" s="120"/>
      <c r="J17" s="114"/>
      <c r="K17" s="114"/>
      <c r="L17" s="84">
        <f t="shared" si="2"/>
      </c>
      <c r="M17" s="86">
        <f t="shared" si="3"/>
      </c>
      <c r="N17" s="14">
        <f t="shared" si="4"/>
        <v>0</v>
      </c>
      <c r="O17" s="14">
        <f t="shared" si="5"/>
        <v>0</v>
      </c>
      <c r="P17" s="14">
        <f t="shared" si="6"/>
        <v>0</v>
      </c>
      <c r="Q17" s="15">
        <f t="shared" si="7"/>
        <v>0</v>
      </c>
      <c r="R17" s="15">
        <f t="shared" si="8"/>
        <v>0</v>
      </c>
      <c r="S17" s="15">
        <f t="shared" si="9"/>
        <v>0</v>
      </c>
      <c r="T17" s="113"/>
      <c r="U17" s="87">
        <f t="shared" si="10"/>
      </c>
      <c r="V17" s="111"/>
      <c r="W17" s="71">
        <f t="shared" si="11"/>
        <v>0</v>
      </c>
      <c r="X17" s="182">
        <f>IF(OR(Z9="",Z11=""),"","την")</f>
      </c>
      <c r="Y17" s="183">
        <f>IF(Z11="","",IF(OR(Y15=1,Y15="",Z9=""),"",DATE(YEAR(Z9),MONTH(Z9)+AA20,DAY(Z9)+AB20)))</f>
      </c>
      <c r="Z17" s="184">
        <f>IF(Z11="","",IF(OR(Z9="",Y15=1,Y15=""),"",IF(AB16-Y17&gt;=0,"αλλάζει","")))</f>
      </c>
      <c r="AA17" s="185">
        <f>IF(Z17="αλλάζει","σε        Μ/κ","")</f>
      </c>
      <c r="AB17" s="196">
        <f>IF(Z17="αλλάζει",Y15-1,"")</f>
      </c>
      <c r="AC17" s="4"/>
      <c r="AD17" s="4"/>
      <c r="AE17" s="4"/>
      <c r="AF17" s="4"/>
      <c r="AG17" s="4"/>
      <c r="AH17" s="4"/>
      <c r="AI17" s="4"/>
      <c r="AJ17" s="4"/>
      <c r="AK17" s="4"/>
      <c r="AL17" s="4"/>
    </row>
    <row r="18" spans="1:38" ht="12.75">
      <c r="A18" s="125">
        <v>15</v>
      </c>
      <c r="B18" s="134"/>
      <c r="C18" s="135"/>
      <c r="D18" s="84">
        <f t="shared" si="0"/>
      </c>
      <c r="E18" s="120"/>
      <c r="F18" s="117"/>
      <c r="G18" s="85">
        <f t="shared" si="1"/>
      </c>
      <c r="H18" s="120"/>
      <c r="I18" s="120"/>
      <c r="J18" s="114"/>
      <c r="K18" s="114"/>
      <c r="L18" s="84">
        <f t="shared" si="2"/>
      </c>
      <c r="M18" s="86">
        <f t="shared" si="3"/>
      </c>
      <c r="N18" s="14">
        <f t="shared" si="4"/>
        <v>0</v>
      </c>
      <c r="O18" s="14">
        <f t="shared" si="5"/>
        <v>0</v>
      </c>
      <c r="P18" s="14">
        <f t="shared" si="6"/>
        <v>0</v>
      </c>
      <c r="Q18" s="15">
        <f t="shared" si="7"/>
        <v>0</v>
      </c>
      <c r="R18" s="15">
        <f t="shared" si="8"/>
        <v>0</v>
      </c>
      <c r="S18" s="15">
        <f t="shared" si="9"/>
        <v>0</v>
      </c>
      <c r="T18" s="113"/>
      <c r="U18" s="87">
        <f t="shared" si="10"/>
      </c>
      <c r="V18" s="111"/>
      <c r="W18" s="71">
        <f t="shared" si="11"/>
        <v>0</v>
      </c>
      <c r="X18" s="155"/>
      <c r="Y18" s="155"/>
      <c r="Z18" s="155"/>
      <c r="AA18" s="155"/>
      <c r="AB18" s="156"/>
      <c r="AC18" s="4"/>
      <c r="AD18" s="4"/>
      <c r="AE18" s="4"/>
      <c r="AF18" s="4"/>
      <c r="AG18" s="4"/>
      <c r="AH18" s="4"/>
      <c r="AI18" s="4"/>
      <c r="AJ18" s="4"/>
      <c r="AK18" s="4"/>
      <c r="AL18" s="4"/>
    </row>
    <row r="19" spans="1:38" ht="13.5" customHeight="1">
      <c r="A19" s="125">
        <v>16</v>
      </c>
      <c r="B19" s="134"/>
      <c r="C19" s="135"/>
      <c r="D19" s="84">
        <f t="shared" si="0"/>
      </c>
      <c r="E19" s="120"/>
      <c r="F19" s="117"/>
      <c r="G19" s="85">
        <f t="shared" si="1"/>
      </c>
      <c r="H19" s="120"/>
      <c r="I19" s="120"/>
      <c r="J19" s="114"/>
      <c r="K19" s="114"/>
      <c r="L19" s="84">
        <f t="shared" si="2"/>
      </c>
      <c r="M19" s="86">
        <f t="shared" si="3"/>
      </c>
      <c r="N19" s="14">
        <f t="shared" si="4"/>
        <v>0</v>
      </c>
      <c r="O19" s="14">
        <f t="shared" si="5"/>
        <v>0</v>
      </c>
      <c r="P19" s="14">
        <f t="shared" si="6"/>
        <v>0</v>
      </c>
      <c r="Q19" s="15">
        <f t="shared" si="7"/>
        <v>0</v>
      </c>
      <c r="R19" s="15">
        <f t="shared" si="8"/>
        <v>0</v>
      </c>
      <c r="S19" s="15">
        <f t="shared" si="9"/>
        <v>0</v>
      </c>
      <c r="T19" s="113"/>
      <c r="U19" s="87">
        <f t="shared" si="10"/>
      </c>
      <c r="V19" s="111"/>
      <c r="W19" s="71">
        <f t="shared" si="11"/>
        <v>0</v>
      </c>
      <c r="X19" s="161">
        <f>IF(Y12="","",IF(Z10="","","Με Μ/κ ΠΕ17"))</f>
      </c>
      <c r="Y19" s="195">
        <f>IF(OR(Z10="",Y15=""),"",IF(Y15&gt;=2,Y15-1,1))</f>
      </c>
      <c r="Z19" s="162">
        <f>IF(Z10="","",IF(Y19&gt;1,Z17,""))</f>
      </c>
      <c r="AA19" s="163">
        <f>IF(OR(Z17="",Z10="",Z19=""),"",Y17)</f>
      </c>
      <c r="AB19" s="197">
        <f>IF(OR(Z17="",Z10="",Z19=""),"",IF(AB17&gt;1,AB17-1,1))</f>
      </c>
      <c r="AC19" s="4"/>
      <c r="AD19" s="4"/>
      <c r="AE19" s="4"/>
      <c r="AF19" s="4"/>
      <c r="AG19" s="4"/>
      <c r="AH19" s="4"/>
      <c r="AI19" s="4"/>
      <c r="AJ19" s="4"/>
      <c r="AK19" s="4"/>
      <c r="AL19" s="4"/>
    </row>
    <row r="20" spans="1:38" ht="12.75">
      <c r="A20" s="125">
        <v>17</v>
      </c>
      <c r="B20" s="134"/>
      <c r="C20" s="135"/>
      <c r="D20" s="84">
        <f t="shared" si="0"/>
      </c>
      <c r="E20" s="120"/>
      <c r="F20" s="117"/>
      <c r="G20" s="85">
        <f t="shared" si="1"/>
      </c>
      <c r="H20" s="120"/>
      <c r="I20" s="120"/>
      <c r="J20" s="114"/>
      <c r="K20" s="114"/>
      <c r="L20" s="84">
        <f t="shared" si="2"/>
      </c>
      <c r="M20" s="86">
        <f t="shared" si="3"/>
      </c>
      <c r="N20" s="14">
        <f t="shared" si="4"/>
        <v>0</v>
      </c>
      <c r="O20" s="14">
        <f t="shared" si="5"/>
        <v>0</v>
      </c>
      <c r="P20" s="14">
        <f t="shared" si="6"/>
        <v>0</v>
      </c>
      <c r="Q20" s="15">
        <f t="shared" si="7"/>
        <v>0</v>
      </c>
      <c r="R20" s="15">
        <f t="shared" si="8"/>
        <v>0</v>
      </c>
      <c r="S20" s="15">
        <f t="shared" si="9"/>
        <v>0</v>
      </c>
      <c r="T20" s="113"/>
      <c r="U20" s="87">
        <f t="shared" si="10"/>
      </c>
      <c r="V20" s="111"/>
      <c r="W20" s="71">
        <f t="shared" si="11"/>
        <v>0</v>
      </c>
      <c r="X20" s="157"/>
      <c r="Y20" s="157"/>
      <c r="Z20" s="160">
        <f>IF(Z21="","",IF(Z23&gt;34,11880-Z22,IF(Z21="","",IF(OR(Z23=2,Z23=4,Z23=6,Z23=8,Z23=10,Z23=12,Z23=14,Z23=16,Z23=18,Z23=20,Z23=22,Z23=24,Z23=26,Z23=28,Z23=30,Z23=32,Z23=34,),-(360+(Z24*30)+Z25),IF(OR(Z23=0,Z23=1,Z23=3,Z23=5,Z23=7,Z23=9,Z23=11,Z23=13,Z23=15,Z23=17,Z23=19,Z23=21,Z23=23,Z23=25,Z23=27,Z23=29,Z23=31,Z23=33,),-(Z24*30+Z25),"")))))</f>
        <v>-713</v>
      </c>
      <c r="AA20" s="158" t="e">
        <f>ROUNDDOWN(Y16/30,0)</f>
        <v>#VALUE!</v>
      </c>
      <c r="AB20" s="159" t="e">
        <f>Y16-AA20*30</f>
        <v>#VALUE!</v>
      </c>
      <c r="AC20" s="4"/>
      <c r="AD20" s="4"/>
      <c r="AE20" s="4"/>
      <c r="AF20" s="4"/>
      <c r="AG20" s="4"/>
      <c r="AH20" s="4"/>
      <c r="AI20" s="4"/>
      <c r="AJ20" s="4"/>
      <c r="AK20" s="4"/>
      <c r="AL20" s="4"/>
    </row>
    <row r="21" spans="1:38" ht="12.75">
      <c r="A21" s="125">
        <v>18</v>
      </c>
      <c r="B21" s="136"/>
      <c r="C21" s="137"/>
      <c r="D21" s="84">
        <f t="shared" si="0"/>
      </c>
      <c r="E21" s="120"/>
      <c r="F21" s="117"/>
      <c r="G21" s="85">
        <f t="shared" si="1"/>
      </c>
      <c r="H21" s="120"/>
      <c r="I21" s="120"/>
      <c r="J21" s="114"/>
      <c r="K21" s="114"/>
      <c r="L21" s="84">
        <f t="shared" si="2"/>
      </c>
      <c r="M21" s="86">
        <f t="shared" si="3"/>
      </c>
      <c r="N21" s="14">
        <f t="shared" si="4"/>
        <v>0</v>
      </c>
      <c r="O21" s="14">
        <f t="shared" si="5"/>
        <v>0</v>
      </c>
      <c r="P21" s="14">
        <f t="shared" si="6"/>
        <v>0</v>
      </c>
      <c r="Q21" s="15">
        <f t="shared" si="7"/>
        <v>0</v>
      </c>
      <c r="R21" s="15">
        <f t="shared" si="8"/>
        <v>0</v>
      </c>
      <c r="S21" s="15">
        <f t="shared" si="9"/>
        <v>0</v>
      </c>
      <c r="T21" s="113"/>
      <c r="U21" s="87">
        <f t="shared" si="10"/>
      </c>
      <c r="V21" s="111"/>
      <c r="W21" s="71">
        <f t="shared" si="11"/>
        <v>0</v>
      </c>
      <c r="X21" s="246" t="s">
        <v>46</v>
      </c>
      <c r="Y21" s="247"/>
      <c r="Z21" s="27">
        <v>40779</v>
      </c>
      <c r="AA21" s="199" t="str">
        <f>IF(OR(Z9="",Z21=""),"",IF(Z21&lt;Z9,"","με Μ/κ ΠΕ18"))</f>
        <v>με Μ/κ ΠΕ18</v>
      </c>
      <c r="AB21" s="200">
        <f>IF(Z23=0,18,IF(OR(Z23=1,Z23=2,),17,IF(OR(Z23=3,Z23=4,),16,IF(OR(Z23=5,Z23=6,),15,IF(OR(Z23=7,Z23=8,),14,IF(OR(Z23=9,Z23=10,),13,IF(OR(Z23=11,Z23=12,),12,IF(Z23=13,11,Y22))))))))</f>
        <v>4</v>
      </c>
      <c r="AC21" s="4"/>
      <c r="AD21" s="4"/>
      <c r="AE21" s="4"/>
      <c r="AF21" s="4"/>
      <c r="AG21" s="4"/>
      <c r="AH21" s="4"/>
      <c r="AI21" s="4"/>
      <c r="AJ21" s="4"/>
      <c r="AK21" s="4"/>
      <c r="AL21" s="4"/>
    </row>
    <row r="22" spans="1:38" ht="12.75">
      <c r="A22" s="125">
        <v>19</v>
      </c>
      <c r="B22" s="136"/>
      <c r="C22" s="137"/>
      <c r="D22" s="84">
        <f t="shared" si="0"/>
      </c>
      <c r="E22" s="120"/>
      <c r="F22" s="117"/>
      <c r="G22" s="85">
        <f t="shared" si="1"/>
      </c>
      <c r="H22" s="120"/>
      <c r="I22" s="120"/>
      <c r="J22" s="114"/>
      <c r="K22" s="114"/>
      <c r="L22" s="84">
        <f t="shared" si="2"/>
      </c>
      <c r="M22" s="86">
        <f t="shared" si="3"/>
      </c>
      <c r="N22" s="14">
        <f t="shared" si="4"/>
        <v>0</v>
      </c>
      <c r="O22" s="14">
        <f t="shared" si="5"/>
        <v>0</v>
      </c>
      <c r="P22" s="14">
        <f t="shared" si="6"/>
        <v>0</v>
      </c>
      <c r="Q22" s="15">
        <f t="shared" si="7"/>
        <v>0</v>
      </c>
      <c r="R22" s="15">
        <f t="shared" si="8"/>
        <v>0</v>
      </c>
      <c r="S22" s="15">
        <f t="shared" si="9"/>
        <v>0</v>
      </c>
      <c r="T22" s="113"/>
      <c r="U22" s="87">
        <f t="shared" si="10"/>
      </c>
      <c r="V22" s="111"/>
      <c r="W22" s="71">
        <f t="shared" si="11"/>
        <v>0</v>
      </c>
      <c r="X22" s="145">
        <f>DATE(YEAR(Z9)+2,MONTH(Z9),DAY(Z9))</f>
        <v>30926</v>
      </c>
      <c r="Y22" s="28">
        <f>IF(Z23=14,11,IF(OR(Z23=15,Z23=16,),10,IF(OR(Z23=17,Z23=18,),9,IF(OR(Z23=19,Z23=20,),8,IF(OR(Z23=21,Z23=22,),7,IF(OR(Z23=23,Z23=24,),6,IF(OR(Z23=25,Z23=26,),5,IF(Z23=27,4,AB23))))))))</f>
        <v>4</v>
      </c>
      <c r="Z22" s="29">
        <f>IF(OR(Z9="",Z21=""),"",IF(Z21&lt;Z9,"",DAYS360(Z9,Z21)+U41-AB40))</f>
        <v>10433</v>
      </c>
      <c r="AA22" s="199" t="str">
        <f>IF(Z22="","","χορηγήθηκε την")</f>
        <v>χορηγήθηκε την</v>
      </c>
      <c r="AB22" s="201">
        <f>IF(Y23&lt;Z9,Z9,Y23)</f>
        <v>40057</v>
      </c>
      <c r="AC22" s="4"/>
      <c r="AD22" s="4"/>
      <c r="AE22" s="4"/>
      <c r="AF22" s="4"/>
      <c r="AG22" s="4"/>
      <c r="AH22" s="4"/>
      <c r="AI22" s="4"/>
      <c r="AJ22" s="4"/>
      <c r="AK22" s="4"/>
      <c r="AL22" s="4"/>
    </row>
    <row r="23" spans="1:38" ht="12.75">
      <c r="A23" s="125">
        <v>20</v>
      </c>
      <c r="B23" s="134"/>
      <c r="C23" s="135"/>
      <c r="D23" s="84">
        <f t="shared" si="0"/>
      </c>
      <c r="E23" s="120"/>
      <c r="F23" s="117"/>
      <c r="G23" s="85">
        <f t="shared" si="1"/>
      </c>
      <c r="H23" s="120"/>
      <c r="I23" s="120"/>
      <c r="J23" s="114"/>
      <c r="K23" s="114"/>
      <c r="L23" s="84">
        <f t="shared" si="2"/>
      </c>
      <c r="M23" s="86">
        <f t="shared" si="3"/>
      </c>
      <c r="N23" s="14">
        <f t="shared" si="4"/>
        <v>0</v>
      </c>
      <c r="O23" s="14">
        <f t="shared" si="5"/>
        <v>0</v>
      </c>
      <c r="P23" s="14">
        <f t="shared" si="6"/>
        <v>0</v>
      </c>
      <c r="Q23" s="15">
        <f t="shared" si="7"/>
        <v>0</v>
      </c>
      <c r="R23" s="15">
        <f t="shared" si="8"/>
        <v>0</v>
      </c>
      <c r="S23" s="15">
        <f t="shared" si="9"/>
        <v>0</v>
      </c>
      <c r="T23" s="113"/>
      <c r="U23" s="87">
        <f t="shared" si="10"/>
      </c>
      <c r="V23" s="111"/>
      <c r="W23" s="71">
        <f t="shared" si="11"/>
        <v>0</v>
      </c>
      <c r="X23" s="145">
        <f>DATE(YEAR(Z9)+1,MONTH(Z9),DAY(Z9))</f>
        <v>30560</v>
      </c>
      <c r="Y23" s="30">
        <f>IF(Z21="","",IF(AB21="","",DATE(YEAR(Z21),MONTH(Z21)+ROUNDDOWN(Z20/30,0),DAY(Z21)+Z20-(ROUNDDOWN(Z20/30,0))*30)))</f>
        <v>40057</v>
      </c>
      <c r="Z23" s="31">
        <f>IF(Z22="","",ROUNDDOWN(Z22/360,0))</f>
        <v>28</v>
      </c>
      <c r="AA23" s="173" t="str">
        <f>IF(Z22="","","Έτη")</f>
        <v>Έτη</v>
      </c>
      <c r="AB23" s="32">
        <f>IF(Z23=28,4,IF(OR(Z23=29,Z23=30,),3,IF(OR(Z23=31,Z23=32,),2,IF(OR(Z23=33,Z23=34,Z23=35,Z23=36,Z23=37,Z23=38,Z23=39,Z23=40,Z23=41,Z23=42,Z23=43,Z23=44,Z23=45,Z23=46,Z23=47,Z23=48,Z23=49,Z23=50,Z23=51,Z23=52,Z23=53,),1,""))))</f>
        <v>4</v>
      </c>
      <c r="AC23" s="4"/>
      <c r="AD23" s="4"/>
      <c r="AE23" s="4"/>
      <c r="AF23" s="4"/>
      <c r="AG23" s="4"/>
      <c r="AH23" s="4"/>
      <c r="AI23" s="4"/>
      <c r="AJ23" s="4"/>
      <c r="AK23" s="4"/>
      <c r="AL23" s="4"/>
    </row>
    <row r="24" spans="1:38" ht="12.75">
      <c r="A24" s="125">
        <v>21</v>
      </c>
      <c r="B24" s="134"/>
      <c r="C24" s="135"/>
      <c r="D24" s="84">
        <f t="shared" si="0"/>
      </c>
      <c r="E24" s="120"/>
      <c r="F24" s="117"/>
      <c r="G24" s="85">
        <f t="shared" si="1"/>
      </c>
      <c r="H24" s="120"/>
      <c r="I24" s="120"/>
      <c r="J24" s="114"/>
      <c r="K24" s="114"/>
      <c r="L24" s="84">
        <f t="shared" si="2"/>
      </c>
      <c r="M24" s="86">
        <f t="shared" si="3"/>
      </c>
      <c r="N24" s="14">
        <f t="shared" si="4"/>
        <v>0</v>
      </c>
      <c r="O24" s="14">
        <f t="shared" si="5"/>
        <v>0</v>
      </c>
      <c r="P24" s="14">
        <f t="shared" si="6"/>
        <v>0</v>
      </c>
      <c r="Q24" s="15">
        <f t="shared" si="7"/>
        <v>0</v>
      </c>
      <c r="R24" s="15">
        <f t="shared" si="8"/>
        <v>0</v>
      </c>
      <c r="S24" s="15">
        <f t="shared" si="9"/>
        <v>0</v>
      </c>
      <c r="T24" s="113"/>
      <c r="U24" s="87">
        <f t="shared" si="10"/>
      </c>
      <c r="V24" s="111"/>
      <c r="W24" s="71">
        <f t="shared" si="11"/>
        <v>0</v>
      </c>
      <c r="X24" s="145" t="str">
        <f>IF(AND(AB11&gt;X23,AB11&lt;X22),AB11,"ok")</f>
        <v>ok</v>
      </c>
      <c r="Y24" s="33"/>
      <c r="Z24" s="31">
        <f>IF(Z22="","",ROUNDDOWN(((Z22/360)-Z23)*12,0))</f>
        <v>11</v>
      </c>
      <c r="AA24" s="173" t="str">
        <f>IF(Z22="","","Μήνες")</f>
        <v>Μήνες</v>
      </c>
      <c r="AB24" s="193">
        <f>IF(AB21="","",IF(Z10="","","Με Μ/κ ΠΕ17"))</f>
      </c>
      <c r="AC24" s="4"/>
      <c r="AD24" s="4"/>
      <c r="AE24" s="4"/>
      <c r="AF24" s="4"/>
      <c r="AG24" s="4"/>
      <c r="AH24" s="4"/>
      <c r="AI24" s="4"/>
      <c r="AJ24" s="4"/>
      <c r="AK24" s="4"/>
      <c r="AL24" s="4"/>
    </row>
    <row r="25" spans="1:38" ht="12.75">
      <c r="A25" s="125">
        <v>22</v>
      </c>
      <c r="B25" s="134"/>
      <c r="C25" s="135"/>
      <c r="D25" s="84">
        <f t="shared" si="0"/>
      </c>
      <c r="E25" s="120"/>
      <c r="F25" s="117"/>
      <c r="G25" s="85">
        <f t="shared" si="1"/>
      </c>
      <c r="H25" s="120"/>
      <c r="I25" s="120"/>
      <c r="J25" s="114"/>
      <c r="K25" s="114"/>
      <c r="L25" s="84">
        <f t="shared" si="2"/>
      </c>
      <c r="M25" s="86">
        <f t="shared" si="3"/>
      </c>
      <c r="N25" s="14">
        <f t="shared" si="4"/>
        <v>0</v>
      </c>
      <c r="O25" s="14">
        <f t="shared" si="5"/>
        <v>0</v>
      </c>
      <c r="P25" s="14">
        <f t="shared" si="6"/>
        <v>0</v>
      </c>
      <c r="Q25" s="15">
        <f t="shared" si="7"/>
        <v>0</v>
      </c>
      <c r="R25" s="15">
        <f t="shared" si="8"/>
        <v>0</v>
      </c>
      <c r="S25" s="15">
        <f t="shared" si="9"/>
        <v>0</v>
      </c>
      <c r="T25" s="113"/>
      <c r="U25" s="87">
        <f t="shared" si="10"/>
      </c>
      <c r="V25" s="111"/>
      <c r="W25" s="71">
        <f t="shared" si="11"/>
        <v>0</v>
      </c>
      <c r="X25" s="145">
        <f>DATE(YEAR(Z9)+8,MONTH(Z9),DAY(Z9))</f>
        <v>33117</v>
      </c>
      <c r="Y25" s="33"/>
      <c r="Z25" s="31">
        <f>IF(Z22="","",ROUND((((((Z22/360)-Z23)*12)-Z24)*30),0))</f>
        <v>23</v>
      </c>
      <c r="AA25" s="173" t="str">
        <f>IF(Z22="","","Μέρες")</f>
        <v>Μέρες</v>
      </c>
      <c r="AB25" s="198">
        <f>IF(AB21="","",IF(Z10="","",IF(AB21&gt;=2,AB21-1,1)))</f>
      </c>
      <c r="AC25" s="4"/>
      <c r="AD25" s="4"/>
      <c r="AE25" s="4"/>
      <c r="AF25" s="4"/>
      <c r="AG25" s="4"/>
      <c r="AH25" s="4"/>
      <c r="AI25" s="4"/>
      <c r="AJ25" s="4"/>
      <c r="AK25" s="4"/>
      <c r="AL25" s="4"/>
    </row>
    <row r="26" spans="1:38" ht="12.75">
      <c r="A26" s="125">
        <v>23</v>
      </c>
      <c r="B26" s="134"/>
      <c r="C26" s="135"/>
      <c r="D26" s="84">
        <f t="shared" si="0"/>
      </c>
      <c r="E26" s="120"/>
      <c r="F26" s="117"/>
      <c r="G26" s="85">
        <f t="shared" si="1"/>
      </c>
      <c r="H26" s="120"/>
      <c r="I26" s="120"/>
      <c r="J26" s="114"/>
      <c r="K26" s="114"/>
      <c r="L26" s="84">
        <f t="shared" si="2"/>
      </c>
      <c r="M26" s="86">
        <f t="shared" si="3"/>
      </c>
      <c r="N26" s="14">
        <f t="shared" si="4"/>
        <v>0</v>
      </c>
      <c r="O26" s="14">
        <f t="shared" si="5"/>
        <v>0</v>
      </c>
      <c r="P26" s="14">
        <f t="shared" si="6"/>
        <v>0</v>
      </c>
      <c r="Q26" s="15">
        <f t="shared" si="7"/>
        <v>0</v>
      </c>
      <c r="R26" s="15">
        <f t="shared" si="8"/>
        <v>0</v>
      </c>
      <c r="S26" s="15">
        <f t="shared" si="9"/>
        <v>0</v>
      </c>
      <c r="T26" s="113"/>
      <c r="U26" s="87">
        <f t="shared" si="10"/>
      </c>
      <c r="V26" s="111"/>
      <c r="W26" s="71">
        <f t="shared" si="11"/>
        <v>0</v>
      </c>
      <c r="X26" s="145">
        <f>DATE(YEAR(AB13)+5,MONTH(AB13),DAY(AB13))</f>
        <v>32752</v>
      </c>
      <c r="Y26" s="30">
        <f>DATE(YEAR(AB13)+4,MONTH(AB13),DAY(AB13))</f>
        <v>32387</v>
      </c>
      <c r="Z26" s="30">
        <f>IF(Z9="","",IF(AB11="",X25,IF(AB11&lt;=X26,X26,IF(AB11&gt;=X25,X25,X27))))</f>
        <v>33117</v>
      </c>
      <c r="AA26" s="140"/>
      <c r="AB26" s="34">
        <f>ROUNDDOWN(Z40/30,0)</f>
        <v>0</v>
      </c>
      <c r="AC26" s="4"/>
      <c r="AD26" s="4"/>
      <c r="AE26" s="4"/>
      <c r="AF26" s="4"/>
      <c r="AG26" s="4"/>
      <c r="AH26" s="4"/>
      <c r="AI26" s="4"/>
      <c r="AJ26" s="4"/>
      <c r="AK26" s="4"/>
      <c r="AL26" s="4"/>
    </row>
    <row r="27" spans="1:38" ht="12.75">
      <c r="A27" s="125">
        <v>24</v>
      </c>
      <c r="B27" s="134"/>
      <c r="C27" s="135"/>
      <c r="D27" s="84">
        <f t="shared" si="0"/>
      </c>
      <c r="E27" s="120"/>
      <c r="F27" s="117"/>
      <c r="G27" s="85">
        <f t="shared" si="1"/>
      </c>
      <c r="H27" s="120"/>
      <c r="I27" s="120"/>
      <c r="J27" s="114"/>
      <c r="K27" s="114"/>
      <c r="L27" s="84">
        <f t="shared" si="2"/>
      </c>
      <c r="M27" s="86">
        <f t="shared" si="3"/>
      </c>
      <c r="N27" s="14">
        <f t="shared" si="4"/>
        <v>0</v>
      </c>
      <c r="O27" s="14">
        <f t="shared" si="5"/>
        <v>0</v>
      </c>
      <c r="P27" s="14">
        <f t="shared" si="6"/>
        <v>0</v>
      </c>
      <c r="Q27" s="15">
        <f t="shared" si="7"/>
        <v>0</v>
      </c>
      <c r="R27" s="15">
        <f t="shared" si="8"/>
        <v>0</v>
      </c>
      <c r="S27" s="15">
        <f t="shared" si="9"/>
        <v>0</v>
      </c>
      <c r="T27" s="113"/>
      <c r="U27" s="87">
        <f t="shared" si="10"/>
      </c>
      <c r="V27" s="111"/>
      <c r="W27" s="71">
        <f t="shared" si="11"/>
        <v>0</v>
      </c>
      <c r="X27" s="146" t="str">
        <f>IF(AND(AB11&gt;X26,AB11&lt;X25),AB11,"ok")</f>
        <v>ok</v>
      </c>
      <c r="Y27" s="147" t="str">
        <f>IF(AND(AB11&gt;Y26,AB11&lt;X25),AB11,"ok")</f>
        <v>ok</v>
      </c>
      <c r="Z27" s="148">
        <f>IF(Z9="","",IF(AB11="",X25,IF(AB11&lt;=Y26,Y26,IF(AB11&gt;=X25,X25,Y27))))</f>
        <v>33117</v>
      </c>
      <c r="AA27" s="144"/>
      <c r="AB27" s="35">
        <f>Z40-AB26*30</f>
        <v>0</v>
      </c>
      <c r="AC27" s="4"/>
      <c r="AD27" s="4"/>
      <c r="AE27" s="4"/>
      <c r="AF27" s="4"/>
      <c r="AG27" s="4"/>
      <c r="AH27" s="4"/>
      <c r="AI27" s="4"/>
      <c r="AJ27" s="4"/>
      <c r="AK27" s="4"/>
      <c r="AL27" s="4"/>
    </row>
    <row r="28" spans="1:38" ht="12.75">
      <c r="A28" s="125">
        <v>25</v>
      </c>
      <c r="B28" s="134"/>
      <c r="C28" s="135"/>
      <c r="D28" s="84">
        <f t="shared" si="0"/>
      </c>
      <c r="E28" s="120"/>
      <c r="F28" s="117"/>
      <c r="G28" s="85">
        <f t="shared" si="1"/>
      </c>
      <c r="H28" s="120"/>
      <c r="I28" s="120"/>
      <c r="J28" s="114"/>
      <c r="K28" s="114"/>
      <c r="L28" s="84">
        <f t="shared" si="2"/>
      </c>
      <c r="M28" s="86">
        <f t="shared" si="3"/>
      </c>
      <c r="N28" s="14">
        <f t="shared" si="4"/>
        <v>0</v>
      </c>
      <c r="O28" s="14">
        <f t="shared" si="5"/>
        <v>0</v>
      </c>
      <c r="P28" s="14">
        <f t="shared" si="6"/>
        <v>0</v>
      </c>
      <c r="Q28" s="15">
        <f t="shared" si="7"/>
        <v>0</v>
      </c>
      <c r="R28" s="15">
        <f t="shared" si="8"/>
        <v>0</v>
      </c>
      <c r="S28" s="15">
        <f t="shared" si="9"/>
        <v>0</v>
      </c>
      <c r="T28" s="113"/>
      <c r="U28" s="87">
        <f t="shared" si="10"/>
      </c>
      <c r="V28" s="111"/>
      <c r="W28" s="71">
        <f t="shared" si="11"/>
        <v>0</v>
      </c>
      <c r="X28" s="260" t="s">
        <v>44</v>
      </c>
      <c r="Y28" s="261"/>
      <c r="Z28" s="261"/>
      <c r="AA28" s="261"/>
      <c r="AB28" s="262"/>
      <c r="AC28" s="4"/>
      <c r="AD28" s="4"/>
      <c r="AE28" s="4"/>
      <c r="AF28" s="4"/>
      <c r="AG28" s="4"/>
      <c r="AH28" s="4"/>
      <c r="AI28" s="4"/>
      <c r="AJ28" s="4"/>
      <c r="AK28" s="4"/>
      <c r="AL28" s="4"/>
    </row>
    <row r="29" spans="1:38" ht="12.75">
      <c r="A29" s="125">
        <v>26</v>
      </c>
      <c r="B29" s="134"/>
      <c r="C29" s="135"/>
      <c r="D29" s="84">
        <f t="shared" si="0"/>
      </c>
      <c r="E29" s="120"/>
      <c r="F29" s="117"/>
      <c r="G29" s="85">
        <f t="shared" si="1"/>
      </c>
      <c r="H29" s="120"/>
      <c r="I29" s="120"/>
      <c r="J29" s="114"/>
      <c r="K29" s="114"/>
      <c r="L29" s="84">
        <f t="shared" si="2"/>
      </c>
      <c r="M29" s="86">
        <f t="shared" si="3"/>
      </c>
      <c r="N29" s="14">
        <f t="shared" si="4"/>
        <v>0</v>
      </c>
      <c r="O29" s="14">
        <f t="shared" si="5"/>
        <v>0</v>
      </c>
      <c r="P29" s="14">
        <f t="shared" si="6"/>
        <v>0</v>
      </c>
      <c r="Q29" s="15">
        <f t="shared" si="7"/>
        <v>0</v>
      </c>
      <c r="R29" s="15">
        <f t="shared" si="8"/>
        <v>0</v>
      </c>
      <c r="S29" s="15">
        <f t="shared" si="9"/>
        <v>0</v>
      </c>
      <c r="T29" s="113"/>
      <c r="U29" s="87">
        <f t="shared" si="10"/>
      </c>
      <c r="V29" s="111"/>
      <c r="W29" s="71">
        <f t="shared" si="11"/>
        <v>0</v>
      </c>
      <c r="X29" s="265" t="s">
        <v>23</v>
      </c>
      <c r="Y29" s="266"/>
      <c r="Z29" s="266"/>
      <c r="AA29" s="77" t="s">
        <v>24</v>
      </c>
      <c r="AB29" s="91"/>
      <c r="AC29" s="4"/>
      <c r="AD29" s="4"/>
      <c r="AE29" s="4"/>
      <c r="AF29" s="4"/>
      <c r="AG29" s="4"/>
      <c r="AH29" s="4"/>
      <c r="AI29" s="4"/>
      <c r="AJ29" s="4"/>
      <c r="AK29" s="4"/>
      <c r="AL29" s="4"/>
    </row>
    <row r="30" spans="1:38" ht="12.75">
      <c r="A30" s="125">
        <v>27</v>
      </c>
      <c r="B30" s="134"/>
      <c r="C30" s="135"/>
      <c r="D30" s="84">
        <f t="shared" si="0"/>
      </c>
      <c r="E30" s="120"/>
      <c r="F30" s="117"/>
      <c r="G30" s="85">
        <f t="shared" si="1"/>
      </c>
      <c r="H30" s="120"/>
      <c r="I30" s="120"/>
      <c r="J30" s="114"/>
      <c r="K30" s="114"/>
      <c r="L30" s="84">
        <f t="shared" si="2"/>
      </c>
      <c r="M30" s="86">
        <f t="shared" si="3"/>
      </c>
      <c r="N30" s="14">
        <f t="shared" si="4"/>
        <v>0</v>
      </c>
      <c r="O30" s="14">
        <f t="shared" si="5"/>
        <v>0</v>
      </c>
      <c r="P30" s="14">
        <f t="shared" si="6"/>
        <v>0</v>
      </c>
      <c r="Q30" s="15">
        <f t="shared" si="7"/>
        <v>0</v>
      </c>
      <c r="R30" s="15">
        <f t="shared" si="8"/>
        <v>0</v>
      </c>
      <c r="S30" s="15">
        <f t="shared" si="9"/>
        <v>0</v>
      </c>
      <c r="T30" s="113"/>
      <c r="U30" s="87">
        <f t="shared" si="10"/>
      </c>
      <c r="V30" s="111"/>
      <c r="W30" s="71">
        <f t="shared" si="11"/>
        <v>0</v>
      </c>
      <c r="X30" s="36">
        <f>INT(D37+L37-AB37)</f>
        <v>0</v>
      </c>
      <c r="Y30" s="26">
        <f>INT(X30/25)</f>
        <v>0</v>
      </c>
      <c r="Z30" s="26">
        <f>((X30/25)-Y30)*25</f>
        <v>0</v>
      </c>
      <c r="AA30" s="37" t="s">
        <v>25</v>
      </c>
      <c r="AB30" s="92"/>
      <c r="AC30" s="4"/>
      <c r="AD30" s="4"/>
      <c r="AE30" s="4"/>
      <c r="AF30" s="4"/>
      <c r="AG30" s="4"/>
      <c r="AH30" s="4"/>
      <c r="AI30" s="4"/>
      <c r="AJ30" s="4"/>
      <c r="AK30" s="4"/>
      <c r="AL30" s="4"/>
    </row>
    <row r="31" spans="1:38" ht="12.75">
      <c r="A31" s="125">
        <v>28</v>
      </c>
      <c r="B31" s="134"/>
      <c r="C31" s="135"/>
      <c r="D31" s="84">
        <f t="shared" si="0"/>
      </c>
      <c r="E31" s="120"/>
      <c r="F31" s="117"/>
      <c r="G31" s="85">
        <f t="shared" si="1"/>
      </c>
      <c r="H31" s="120"/>
      <c r="I31" s="120"/>
      <c r="J31" s="114"/>
      <c r="K31" s="114"/>
      <c r="L31" s="84">
        <f t="shared" si="2"/>
      </c>
      <c r="M31" s="86">
        <f t="shared" si="3"/>
      </c>
      <c r="N31" s="14">
        <f t="shared" si="4"/>
        <v>0</v>
      </c>
      <c r="O31" s="14">
        <f t="shared" si="5"/>
        <v>0</v>
      </c>
      <c r="P31" s="14">
        <f t="shared" si="6"/>
        <v>0</v>
      </c>
      <c r="Q31" s="15">
        <f t="shared" si="7"/>
        <v>0</v>
      </c>
      <c r="R31" s="15">
        <f t="shared" si="8"/>
        <v>0</v>
      </c>
      <c r="S31" s="15">
        <f t="shared" si="9"/>
        <v>0</v>
      </c>
      <c r="T31" s="113"/>
      <c r="U31" s="87">
        <f t="shared" si="10"/>
      </c>
      <c r="V31" s="111"/>
      <c r="W31" s="71">
        <f t="shared" si="11"/>
        <v>0</v>
      </c>
      <c r="X31" s="36">
        <f>G37-AB39</f>
        <v>0</v>
      </c>
      <c r="Y31" s="26">
        <f>INT(X31/30)</f>
        <v>0</v>
      </c>
      <c r="Z31" s="26">
        <f>((X31/30)-Y31)*30</f>
        <v>0</v>
      </c>
      <c r="AA31" s="38" t="s">
        <v>26</v>
      </c>
      <c r="AB31" s="93"/>
      <c r="AC31" s="4"/>
      <c r="AD31" s="4"/>
      <c r="AE31" s="4"/>
      <c r="AF31" s="4"/>
      <c r="AG31" s="4"/>
      <c r="AH31" s="4"/>
      <c r="AI31" s="4"/>
      <c r="AJ31" s="4"/>
      <c r="AK31" s="4"/>
      <c r="AL31" s="4"/>
    </row>
    <row r="32" spans="1:38" ht="12.75">
      <c r="A32" s="125">
        <v>29</v>
      </c>
      <c r="B32" s="134"/>
      <c r="C32" s="135"/>
      <c r="D32" s="84">
        <f t="shared" si="0"/>
      </c>
      <c r="E32" s="120"/>
      <c r="F32" s="117"/>
      <c r="G32" s="85">
        <f t="shared" si="1"/>
      </c>
      <c r="H32" s="120"/>
      <c r="I32" s="120"/>
      <c r="J32" s="114"/>
      <c r="K32" s="114"/>
      <c r="L32" s="84">
        <f t="shared" si="2"/>
      </c>
      <c r="M32" s="86">
        <f t="shared" si="3"/>
      </c>
      <c r="N32" s="14">
        <f t="shared" si="4"/>
        <v>0</v>
      </c>
      <c r="O32" s="14">
        <f t="shared" si="5"/>
        <v>0</v>
      </c>
      <c r="P32" s="14">
        <f t="shared" si="6"/>
        <v>0</v>
      </c>
      <c r="Q32" s="15">
        <f t="shared" si="7"/>
        <v>0</v>
      </c>
      <c r="R32" s="15">
        <f t="shared" si="8"/>
        <v>0</v>
      </c>
      <c r="S32" s="15">
        <f t="shared" si="9"/>
        <v>0</v>
      </c>
      <c r="T32" s="113"/>
      <c r="U32" s="87">
        <f t="shared" si="10"/>
      </c>
      <c r="V32" s="111"/>
      <c r="W32" s="71">
        <f t="shared" si="11"/>
        <v>0</v>
      </c>
      <c r="X32" s="191"/>
      <c r="Y32" s="26">
        <f>IF(Z30+Z31&gt;=30,SUM(Y30,Y31)+1,SUM(Y30,Y31))</f>
        <v>0</v>
      </c>
      <c r="Z32" s="26">
        <f>IF(Z30+Z31&gt;=30,Z30+Z31-30,Z30+Z31)</f>
        <v>0</v>
      </c>
      <c r="AA32" s="42" t="s">
        <v>27</v>
      </c>
      <c r="AB32" s="94">
        <f>IF(AB29="","",ROUND((((DAYS360(AB29,AB30+1))*(25/30))/6)*AB31,2))</f>
      </c>
      <c r="AC32" s="4"/>
      <c r="AD32" s="4"/>
      <c r="AE32" s="4"/>
      <c r="AF32" s="4"/>
      <c r="AG32" s="4"/>
      <c r="AH32" s="4"/>
      <c r="AI32" s="4"/>
      <c r="AJ32" s="4"/>
      <c r="AK32" s="4"/>
      <c r="AL32" s="4"/>
    </row>
    <row r="33" spans="1:38" ht="12.75">
      <c r="A33" s="125">
        <v>30</v>
      </c>
      <c r="B33" s="134"/>
      <c r="C33" s="135"/>
      <c r="D33" s="84">
        <f t="shared" si="0"/>
      </c>
      <c r="E33" s="120"/>
      <c r="F33" s="117"/>
      <c r="G33" s="85">
        <f t="shared" si="1"/>
      </c>
      <c r="H33" s="120"/>
      <c r="I33" s="120"/>
      <c r="J33" s="114"/>
      <c r="K33" s="114"/>
      <c r="L33" s="84">
        <f t="shared" si="2"/>
      </c>
      <c r="M33" s="86">
        <f t="shared" si="3"/>
      </c>
      <c r="N33" s="14">
        <f t="shared" si="4"/>
        <v>0</v>
      </c>
      <c r="O33" s="14">
        <f t="shared" si="5"/>
        <v>0</v>
      </c>
      <c r="P33" s="14">
        <f t="shared" si="6"/>
        <v>0</v>
      </c>
      <c r="Q33" s="15">
        <f t="shared" si="7"/>
        <v>0</v>
      </c>
      <c r="R33" s="15">
        <f t="shared" si="8"/>
        <v>0</v>
      </c>
      <c r="S33" s="15">
        <f t="shared" si="9"/>
        <v>0</v>
      </c>
      <c r="T33" s="113"/>
      <c r="U33" s="87">
        <f t="shared" si="10"/>
      </c>
      <c r="V33" s="111"/>
      <c r="W33" s="71">
        <f t="shared" si="11"/>
        <v>0</v>
      </c>
      <c r="X33" s="78">
        <f>IF(AB34="","",DAYS360(AB33,AB34+1))</f>
      </c>
      <c r="Y33" s="263" t="str">
        <f>IF(OR(AB33="",AB34=""),"Έλεγχος Υπερωριών (Ε. Υ.)",IF(SUM(W4:W36)=0,"Έλεγχος υπερωριών (Ε. Υ.)",IF(TRUNC(Z35)&gt;Z34,"Υπάρχουν υπερωρίες",IF(Z34&gt;=TRUNC(Z35),"Δεν υπάρχουν υπερωρίες","Έλεγχος υπερωριών (Ε. Υ.)"))))</f>
        <v>Έλεγχος Υπερωριών (Ε. Υ.)</v>
      </c>
      <c r="Z33" s="264"/>
      <c r="AA33" s="77" t="s">
        <v>24</v>
      </c>
      <c r="AB33" s="95"/>
      <c r="AC33" s="4"/>
      <c r="AD33" s="4"/>
      <c r="AE33" s="4"/>
      <c r="AF33" s="4"/>
      <c r="AG33" s="4"/>
      <c r="AH33" s="4"/>
      <c r="AI33" s="4"/>
      <c r="AJ33" s="4"/>
      <c r="AK33" s="4"/>
      <c r="AL33" s="4"/>
    </row>
    <row r="34" spans="1:38" ht="12.75">
      <c r="A34" s="125">
        <v>31</v>
      </c>
      <c r="B34" s="134"/>
      <c r="C34" s="135"/>
      <c r="D34" s="84">
        <f t="shared" si="0"/>
      </c>
      <c r="E34" s="120"/>
      <c r="F34" s="117"/>
      <c r="G34" s="85">
        <f t="shared" si="1"/>
      </c>
      <c r="H34" s="120"/>
      <c r="I34" s="120"/>
      <c r="J34" s="114"/>
      <c r="K34" s="114"/>
      <c r="L34" s="84">
        <f t="shared" si="2"/>
      </c>
      <c r="M34" s="86">
        <f t="shared" si="3"/>
      </c>
      <c r="N34" s="14">
        <f t="shared" si="4"/>
        <v>0</v>
      </c>
      <c r="O34" s="14">
        <f t="shared" si="5"/>
        <v>0</v>
      </c>
      <c r="P34" s="14">
        <f t="shared" si="6"/>
        <v>0</v>
      </c>
      <c r="Q34" s="15">
        <f t="shared" si="7"/>
        <v>0</v>
      </c>
      <c r="R34" s="15">
        <f t="shared" si="8"/>
        <v>0</v>
      </c>
      <c r="S34" s="15">
        <f t="shared" si="9"/>
        <v>0</v>
      </c>
      <c r="T34" s="113"/>
      <c r="U34" s="87">
        <f t="shared" si="10"/>
      </c>
      <c r="V34" s="111"/>
      <c r="W34" s="71">
        <f t="shared" si="11"/>
        <v>0</v>
      </c>
      <c r="X34" s="258">
        <f>IF(OR(AB33="",AB34=""),"","Μέγιστο ημερών εργασίας")</f>
      </c>
      <c r="Y34" s="259"/>
      <c r="Z34" s="75">
        <f>IF(OR(AB33="",AB34=""),"",DAYS360(AB33,AB34+1))</f>
      </c>
      <c r="AA34" s="80" t="s">
        <v>25</v>
      </c>
      <c r="AB34" s="95"/>
      <c r="AC34" s="4"/>
      <c r="AD34" s="4"/>
      <c r="AE34" s="4"/>
      <c r="AF34" s="4"/>
      <c r="AG34" s="4"/>
      <c r="AH34" s="4"/>
      <c r="AI34" s="4"/>
      <c r="AJ34" s="4"/>
      <c r="AK34" s="4"/>
      <c r="AL34" s="4"/>
    </row>
    <row r="35" spans="1:38" ht="12.75">
      <c r="A35" s="125">
        <v>32</v>
      </c>
      <c r="B35" s="134"/>
      <c r="C35" s="135"/>
      <c r="D35" s="84">
        <f t="shared" si="0"/>
      </c>
      <c r="E35" s="120"/>
      <c r="F35" s="117"/>
      <c r="G35" s="85">
        <f t="shared" si="1"/>
      </c>
      <c r="H35" s="120"/>
      <c r="I35" s="120"/>
      <c r="J35" s="114"/>
      <c r="K35" s="114"/>
      <c r="L35" s="84">
        <f t="shared" si="2"/>
      </c>
      <c r="M35" s="86">
        <f t="shared" si="3"/>
      </c>
      <c r="N35" s="14">
        <f t="shared" si="4"/>
        <v>0</v>
      </c>
      <c r="O35" s="14">
        <f t="shared" si="5"/>
        <v>0</v>
      </c>
      <c r="P35" s="14">
        <f t="shared" si="6"/>
        <v>0</v>
      </c>
      <c r="Q35" s="15">
        <f t="shared" si="7"/>
        <v>0</v>
      </c>
      <c r="R35" s="15">
        <f t="shared" si="8"/>
        <v>0</v>
      </c>
      <c r="S35" s="15">
        <f t="shared" si="9"/>
        <v>0</v>
      </c>
      <c r="T35" s="113"/>
      <c r="U35" s="87">
        <f t="shared" si="10"/>
      </c>
      <c r="V35" s="111"/>
      <c r="W35" s="71">
        <f t="shared" si="11"/>
        <v>0</v>
      </c>
      <c r="X35" s="258">
        <f>IF(OR(AB33="",AB34=""),"","Ημέρες από προϋπηρεσίες")</f>
      </c>
      <c r="Y35" s="259"/>
      <c r="Z35" s="81">
        <f>IF(OR(AB33="",AB34=""),"",ROUND(SUM(W4:W36),0))</f>
      </c>
      <c r="AA35" s="37" t="s">
        <v>39</v>
      </c>
      <c r="AB35" s="90">
        <f>IF(AB33="","",IF(SUM(W4:W36)&lt;=X33,"Δεν υπάρχει",SUM(W4:W36)-X33))</f>
      </c>
      <c r="AC35" s="4"/>
      <c r="AD35" s="4"/>
      <c r="AE35" s="4"/>
      <c r="AF35" s="4"/>
      <c r="AG35" s="4"/>
      <c r="AH35" s="4"/>
      <c r="AI35" s="4"/>
      <c r="AJ35" s="4"/>
      <c r="AK35" s="4"/>
      <c r="AL35" s="4"/>
    </row>
    <row r="36" spans="1:38" ht="12.75">
      <c r="A36" s="126">
        <v>33</v>
      </c>
      <c r="B36" s="138"/>
      <c r="C36" s="139"/>
      <c r="D36" s="105">
        <f t="shared" si="0"/>
      </c>
      <c r="E36" s="121"/>
      <c r="F36" s="118"/>
      <c r="G36" s="106">
        <f t="shared" si="1"/>
      </c>
      <c r="H36" s="121"/>
      <c r="I36" s="121"/>
      <c r="J36" s="115"/>
      <c r="K36" s="115"/>
      <c r="L36" s="105">
        <f t="shared" si="2"/>
      </c>
      <c r="M36" s="107">
        <f t="shared" si="3"/>
      </c>
      <c r="N36" s="14">
        <f t="shared" si="4"/>
        <v>0</v>
      </c>
      <c r="O36" s="14">
        <f t="shared" si="5"/>
        <v>0</v>
      </c>
      <c r="P36" s="14">
        <f t="shared" si="6"/>
        <v>0</v>
      </c>
      <c r="Q36" s="15">
        <f t="shared" si="7"/>
        <v>0</v>
      </c>
      <c r="R36" s="15">
        <f t="shared" si="8"/>
        <v>0</v>
      </c>
      <c r="S36" s="15">
        <f t="shared" si="9"/>
        <v>0</v>
      </c>
      <c r="T36" s="113"/>
      <c r="U36" s="109">
        <f t="shared" si="10"/>
      </c>
      <c r="V36" s="112"/>
      <c r="W36" s="71">
        <f t="shared" si="11"/>
        <v>0</v>
      </c>
      <c r="X36" s="76"/>
      <c r="Y36" s="82">
        <f>IF(AB35="","",IF(AB35&lt;&gt;"Δεν υπάρχει","Με ωράριο",""))</f>
      </c>
      <c r="Z36" s="96"/>
      <c r="AA36" s="79">
        <f>IF(AB35="","",IF(AB35&lt;&gt;"Δεν υπάρχει","αντιστοιχεί σε ώρες",""))</f>
      </c>
      <c r="AB36" s="90">
        <f>IF(Z36="","",IF(AB35="","",IF(AB35&lt;&gt;"Δεν υπάρχει",TRUNC(Z36*(AB35/30)*25/6),"")))</f>
      </c>
      <c r="AC36" s="4"/>
      <c r="AD36" s="4"/>
      <c r="AE36" s="4"/>
      <c r="AF36" s="4"/>
      <c r="AG36" s="4"/>
      <c r="AH36" s="4"/>
      <c r="AI36" s="4"/>
      <c r="AJ36" s="4"/>
      <c r="AK36" s="4"/>
      <c r="AL36" s="4"/>
    </row>
    <row r="37" spans="1:38" ht="18.75" customHeight="1">
      <c r="A37" s="210" t="s">
        <v>13</v>
      </c>
      <c r="B37" s="211"/>
      <c r="C37" s="211"/>
      <c r="D37" s="102">
        <f>SUM(D4:D36)</f>
        <v>0</v>
      </c>
      <c r="E37" s="211" t="s">
        <v>13</v>
      </c>
      <c r="F37" s="211"/>
      <c r="G37" s="103">
        <f>SUM(G4:G36)</f>
        <v>0</v>
      </c>
      <c r="H37" s="211" t="s">
        <v>13</v>
      </c>
      <c r="I37" s="211"/>
      <c r="J37" s="211"/>
      <c r="K37" s="211"/>
      <c r="L37" s="102">
        <f>SUM(L4:L36)</f>
        <v>0</v>
      </c>
      <c r="M37" s="104">
        <f>SUM(M4:M36)</f>
        <v>0</v>
      </c>
      <c r="N37" s="40"/>
      <c r="O37" s="40"/>
      <c r="P37" s="40"/>
      <c r="Q37" s="41"/>
      <c r="R37" s="41"/>
      <c r="S37" s="41"/>
      <c r="T37" s="113"/>
      <c r="U37" s="108">
        <f>SUM(U4:U36)</f>
        <v>0</v>
      </c>
      <c r="V37" s="101">
        <f>IF(U37=0,"",U41-SUM(U4:U36))</f>
      </c>
      <c r="W37" s="72"/>
      <c r="X37" s="256" t="s">
        <v>37</v>
      </c>
      <c r="Y37" s="257"/>
      <c r="Z37" s="257"/>
      <c r="AA37" s="257"/>
      <c r="AB37" s="43"/>
      <c r="AC37" s="4"/>
      <c r="AD37" s="4"/>
      <c r="AE37" s="4"/>
      <c r="AF37" s="4"/>
      <c r="AG37" s="4"/>
      <c r="AH37" s="4"/>
      <c r="AI37" s="4"/>
      <c r="AJ37" s="4"/>
      <c r="AK37" s="4"/>
      <c r="AL37" s="4"/>
    </row>
    <row r="38" spans="1:38" ht="10.5" customHeight="1" hidden="1">
      <c r="A38" s="215"/>
      <c r="B38" s="216"/>
      <c r="C38" s="216"/>
      <c r="D38" s="216"/>
      <c r="E38" s="216"/>
      <c r="F38" s="216"/>
      <c r="G38" s="216"/>
      <c r="H38" s="216"/>
      <c r="I38" s="216"/>
      <c r="J38" s="216"/>
      <c r="K38" s="216"/>
      <c r="L38" s="216"/>
      <c r="M38" s="67"/>
      <c r="N38" s="11"/>
      <c r="O38" s="11"/>
      <c r="P38" s="11"/>
      <c r="Q38" s="13"/>
      <c r="R38" s="13"/>
      <c r="S38" s="13"/>
      <c r="T38" s="113"/>
      <c r="U38" s="44" t="s">
        <v>12</v>
      </c>
      <c r="V38" s="44" t="s">
        <v>2</v>
      </c>
      <c r="W38" s="44"/>
      <c r="X38" s="42"/>
      <c r="Y38" s="42"/>
      <c r="Z38" s="45"/>
      <c r="AA38" s="45"/>
      <c r="AB38" s="46"/>
      <c r="AC38" s="5"/>
      <c r="AD38" s="5"/>
      <c r="AE38" s="4"/>
      <c r="AF38" s="4"/>
      <c r="AG38" s="4"/>
      <c r="AH38" s="4"/>
      <c r="AI38" s="4"/>
      <c r="AJ38" s="4"/>
      <c r="AK38" s="4"/>
      <c r="AL38" s="4"/>
    </row>
    <row r="39" spans="1:38" ht="18.75" customHeight="1">
      <c r="A39" s="215" t="s">
        <v>53</v>
      </c>
      <c r="B39" s="216"/>
      <c r="C39" s="216"/>
      <c r="D39" s="216"/>
      <c r="E39" s="216"/>
      <c r="F39" s="47">
        <f>INT(SUM(D37,L37))</f>
        <v>0</v>
      </c>
      <c r="G39" s="48" t="s">
        <v>6</v>
      </c>
      <c r="H39" s="49">
        <f>INT(F39/25)</f>
        <v>0</v>
      </c>
      <c r="I39" s="48" t="s">
        <v>8</v>
      </c>
      <c r="J39" s="48"/>
      <c r="K39" s="49">
        <f>((F39/25)-H39)*25</f>
        <v>0</v>
      </c>
      <c r="L39" s="48" t="s">
        <v>7</v>
      </c>
      <c r="M39" s="50"/>
      <c r="N39" s="51"/>
      <c r="O39" s="11"/>
      <c r="P39" s="11"/>
      <c r="Q39" s="13"/>
      <c r="R39" s="13"/>
      <c r="S39" s="13"/>
      <c r="T39" s="113"/>
      <c r="U39" s="52" t="s">
        <v>12</v>
      </c>
      <c r="V39" s="53" t="s">
        <v>2</v>
      </c>
      <c r="W39" s="73"/>
      <c r="X39" s="256" t="s">
        <v>38</v>
      </c>
      <c r="Y39" s="257"/>
      <c r="Z39" s="257"/>
      <c r="AA39" s="257"/>
      <c r="AB39" s="54"/>
      <c r="AC39" s="4"/>
      <c r="AD39" s="4"/>
      <c r="AE39" s="4"/>
      <c r="AF39" s="4"/>
      <c r="AG39" s="4"/>
      <c r="AH39" s="4"/>
      <c r="AI39" s="4"/>
      <c r="AJ39" s="4"/>
      <c r="AK39" s="4"/>
      <c r="AL39" s="4"/>
    </row>
    <row r="40" spans="1:38" ht="18">
      <c r="A40" s="219" t="s">
        <v>54</v>
      </c>
      <c r="B40" s="220"/>
      <c r="C40" s="220"/>
      <c r="D40" s="220"/>
      <c r="E40" s="220"/>
      <c r="F40" s="55">
        <f>G37</f>
        <v>0</v>
      </c>
      <c r="G40" s="56" t="s">
        <v>6</v>
      </c>
      <c r="H40" s="57">
        <f>INT(F40/30)</f>
        <v>0</v>
      </c>
      <c r="I40" s="56" t="s">
        <v>8</v>
      </c>
      <c r="J40" s="56"/>
      <c r="K40" s="57">
        <f>((F40/30)-H40)*30</f>
        <v>0</v>
      </c>
      <c r="L40" s="56" t="s">
        <v>7</v>
      </c>
      <c r="M40" s="39">
        <f>ROUND(SUM(D37*30/25,G37,L37*30/25),0)</f>
        <v>0</v>
      </c>
      <c r="N40" s="11"/>
      <c r="O40" s="11"/>
      <c r="P40" s="11"/>
      <c r="Q40" s="13"/>
      <c r="R40" s="13"/>
      <c r="S40" s="13"/>
      <c r="T40" s="113"/>
      <c r="U40" s="58">
        <f>INT(M40/30)</f>
        <v>0</v>
      </c>
      <c r="V40" s="59">
        <f>ROUND(((M40/30-INT(M40/30))*30),0)</f>
        <v>0</v>
      </c>
      <c r="W40" s="74"/>
      <c r="X40" s="223" t="s">
        <v>42</v>
      </c>
      <c r="Y40" s="224"/>
      <c r="Z40" s="224"/>
      <c r="AA40" s="225"/>
      <c r="AB40" s="60"/>
      <c r="AC40" s="4"/>
      <c r="AD40" s="4"/>
      <c r="AE40" s="4"/>
      <c r="AF40" s="4"/>
      <c r="AG40" s="4"/>
      <c r="AH40" s="4"/>
      <c r="AI40" s="4"/>
      <c r="AJ40" s="4"/>
      <c r="AK40" s="4"/>
      <c r="AL40" s="4"/>
    </row>
    <row r="41" spans="1:38" ht="0.75" customHeight="1" hidden="1">
      <c r="A41" s="217"/>
      <c r="B41" s="218"/>
      <c r="C41" s="218"/>
      <c r="D41" s="218"/>
      <c r="E41" s="218"/>
      <c r="F41" s="218"/>
      <c r="G41" s="218"/>
      <c r="H41" s="218"/>
      <c r="I41" s="218"/>
      <c r="J41" s="218"/>
      <c r="K41" s="218"/>
      <c r="L41" s="218"/>
      <c r="M41" s="61"/>
      <c r="N41" s="11"/>
      <c r="O41" s="11"/>
      <c r="P41" s="11"/>
      <c r="Q41" s="13"/>
      <c r="R41" s="13"/>
      <c r="S41" s="13"/>
      <c r="T41" s="113"/>
      <c r="U41" s="206">
        <f>H42*30+K42</f>
        <v>0</v>
      </c>
      <c r="V41" s="202"/>
      <c r="W41" s="68"/>
      <c r="X41" s="13"/>
      <c r="Y41" s="13"/>
      <c r="Z41" s="13"/>
      <c r="AA41" s="13"/>
      <c r="AB41" s="88"/>
      <c r="AC41" s="4"/>
      <c r="AD41" s="4"/>
      <c r="AE41" s="4"/>
      <c r="AF41" s="4"/>
      <c r="AG41" s="4"/>
      <c r="AH41" s="4"/>
      <c r="AI41" s="4"/>
      <c r="AJ41" s="4"/>
      <c r="AK41" s="4"/>
      <c r="AL41" s="4"/>
    </row>
    <row r="42" spans="1:38" s="2" customFormat="1" ht="22.5" customHeight="1">
      <c r="A42" s="226" t="s">
        <v>35</v>
      </c>
      <c r="B42" s="203"/>
      <c r="C42" s="203"/>
      <c r="D42" s="203"/>
      <c r="E42" s="203"/>
      <c r="F42" s="203"/>
      <c r="G42" s="203"/>
      <c r="H42" s="62">
        <f>IF(K39+K40&gt;=30,SUM(H39,H40)+1,SUM(H39,H40))</f>
        <v>0</v>
      </c>
      <c r="I42" s="63" t="s">
        <v>8</v>
      </c>
      <c r="J42" s="22"/>
      <c r="K42" s="62">
        <f>IF(K39+K40&gt;=30,K39+K40-30,K39+K40)</f>
        <v>0</v>
      </c>
      <c r="L42" s="63" t="s">
        <v>7</v>
      </c>
      <c r="M42" s="64" t="s">
        <v>31</v>
      </c>
      <c r="N42" s="65"/>
      <c r="O42" s="9"/>
      <c r="P42" s="9"/>
      <c r="Q42" s="66"/>
      <c r="R42" s="66"/>
      <c r="S42" s="66"/>
      <c r="T42" s="113"/>
      <c r="U42" s="206"/>
      <c r="V42" s="206"/>
      <c r="W42" s="68"/>
      <c r="X42" s="89" t="s">
        <v>30</v>
      </c>
      <c r="Y42" s="229" t="str">
        <f>IF(AND(AB37="",AB39=""),"και συμπίπτει με την εκπαιδευτική προϋπηρεσία","")</f>
        <v>και συμπίπτει με την εκπαιδευτική προϋπηρεσία</v>
      </c>
      <c r="Z42" s="229"/>
      <c r="AA42" s="229"/>
      <c r="AB42" s="230"/>
      <c r="AC42" s="6"/>
      <c r="AD42" s="6"/>
      <c r="AE42" s="6"/>
      <c r="AF42" s="6"/>
      <c r="AG42" s="6"/>
      <c r="AH42" s="6"/>
      <c r="AI42" s="6"/>
      <c r="AJ42" s="6"/>
      <c r="AK42" s="6"/>
      <c r="AL42" s="6"/>
    </row>
    <row r="43" spans="1:38" ht="21.75" customHeight="1">
      <c r="A43" s="221">
        <f>IF(U37&lt;INT(AB37*30/25)+AB39,"",IF(Y42="","       Η συνολική εκπαιδευτική προϋπηρεσία είναι",""))</f>
      </c>
      <c r="B43" s="222"/>
      <c r="C43" s="222"/>
      <c r="D43" s="222"/>
      <c r="E43" s="222"/>
      <c r="F43" s="222"/>
      <c r="G43" s="222"/>
      <c r="H43" s="127">
        <f>IF(U37&lt;INT(AB37*30/25)+AB39,"",IF(Y42="",Y32,""))</f>
      </c>
      <c r="I43" s="123">
        <f>IF(U37&lt;INT(AB37*30/25)+AB39,"",IF(Y42="","μήνες",""))</f>
      </c>
      <c r="J43" s="128"/>
      <c r="K43" s="127">
        <f>IF(U37&lt;INT(AB37*30/25)+AB39,"",IF(Y42="",Z32,""))</f>
      </c>
      <c r="L43" s="123">
        <f>IF(U37&lt;INT(AB37*30/25)+AB39,"",IF(Y42="","μέρες",""))</f>
      </c>
      <c r="M43" s="228">
        <f>IF(U37&lt;INT(AB37*30/25)+AB39,"",IF(Y42="","204/05 Ν.Σ.Κ.  Δ2/83469/24-08-2005 ΥΠ.Ε.Π.Θ.",""))</f>
      </c>
      <c r="N43" s="228"/>
      <c r="O43" s="228"/>
      <c r="P43" s="228"/>
      <c r="Q43" s="228"/>
      <c r="R43" s="228"/>
      <c r="S43" s="228"/>
      <c r="T43" s="228"/>
      <c r="U43" s="228"/>
      <c r="V43" s="228"/>
      <c r="W43" s="228"/>
      <c r="X43" s="228"/>
      <c r="Y43" s="227">
        <f ca="1">IF(AB32="",NOW(),"unlock password  :  pol")</f>
        <v>40779.90099976852</v>
      </c>
      <c r="Z43" s="227"/>
      <c r="AA43" s="204" t="s">
        <v>56</v>
      </c>
      <c r="AB43" s="205"/>
      <c r="AC43" s="4"/>
      <c r="AD43" s="4"/>
      <c r="AE43" s="4"/>
      <c r="AF43" s="4"/>
      <c r="AG43" s="4"/>
      <c r="AH43" s="4"/>
      <c r="AI43" s="4"/>
      <c r="AJ43" s="4"/>
      <c r="AK43" s="4"/>
      <c r="AL43" s="4"/>
    </row>
    <row r="44" spans="1:38" ht="14.25">
      <c r="A44" s="8"/>
      <c r="B44" s="3"/>
      <c r="C44" s="3"/>
      <c r="D44" s="3"/>
      <c r="E44" s="3"/>
      <c r="F44" s="3"/>
      <c r="G44" s="3"/>
      <c r="H44" s="3"/>
      <c r="I44" s="3"/>
      <c r="J44" s="3"/>
      <c r="K44" s="3"/>
      <c r="L44" s="3"/>
      <c r="M44" s="3"/>
      <c r="N44" s="3"/>
      <c r="O44" s="3"/>
      <c r="P44" s="3"/>
      <c r="Q44" s="3"/>
      <c r="R44" s="3"/>
      <c r="S44" s="3"/>
      <c r="T44" s="3"/>
      <c r="U44" s="3"/>
      <c r="V44" s="3"/>
      <c r="W44" s="3"/>
      <c r="X44" s="3"/>
      <c r="Y44" s="3"/>
      <c r="Z44" s="3"/>
      <c r="AA44" s="3"/>
      <c r="AB44" s="4"/>
      <c r="AC44" s="4"/>
      <c r="AD44" s="4"/>
      <c r="AE44" s="4"/>
      <c r="AF44" s="4"/>
      <c r="AG44" s="4"/>
      <c r="AH44" s="4"/>
      <c r="AI44" s="4"/>
      <c r="AJ44" s="4"/>
      <c r="AK44" s="4"/>
      <c r="AL44" s="4"/>
    </row>
    <row r="45" spans="1:38" ht="14.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4"/>
      <c r="AC45" s="4"/>
      <c r="AD45" s="4"/>
      <c r="AE45" s="4"/>
      <c r="AF45" s="4"/>
      <c r="AG45" s="4"/>
      <c r="AH45" s="4"/>
      <c r="AI45" s="4"/>
      <c r="AJ45" s="4"/>
      <c r="AK45" s="4"/>
      <c r="AL45" s="4"/>
    </row>
    <row r="46" spans="1:38" ht="14.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4"/>
      <c r="AC46" s="4"/>
      <c r="AD46" s="4"/>
      <c r="AE46" s="4"/>
      <c r="AF46" s="4"/>
      <c r="AG46" s="4"/>
      <c r="AH46" s="4"/>
      <c r="AI46" s="4"/>
      <c r="AJ46" s="4"/>
      <c r="AK46" s="4"/>
      <c r="AL46" s="4"/>
    </row>
    <row r="47" spans="1:38" ht="14.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4"/>
      <c r="AC47" s="4"/>
      <c r="AD47" s="4"/>
      <c r="AE47" s="4"/>
      <c r="AF47" s="4"/>
      <c r="AG47" s="4"/>
      <c r="AH47" s="4"/>
      <c r="AI47" s="4"/>
      <c r="AJ47" s="4"/>
      <c r="AK47" s="4"/>
      <c r="AL47" s="4"/>
    </row>
    <row r="48" spans="1:38" ht="14.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4"/>
      <c r="AC48" s="4"/>
      <c r="AD48" s="4"/>
      <c r="AE48" s="4"/>
      <c r="AF48" s="4"/>
      <c r="AG48" s="4"/>
      <c r="AH48" s="4"/>
      <c r="AI48" s="4"/>
      <c r="AJ48" s="4"/>
      <c r="AK48" s="4"/>
      <c r="AL48" s="4"/>
    </row>
    <row r="49" spans="1:38" ht="14.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4"/>
      <c r="AC49" s="4"/>
      <c r="AD49" s="4"/>
      <c r="AE49" s="4"/>
      <c r="AF49" s="4"/>
      <c r="AG49" s="4"/>
      <c r="AH49" s="4"/>
      <c r="AI49" s="4"/>
      <c r="AJ49" s="4"/>
      <c r="AK49" s="4"/>
      <c r="AL49" s="4"/>
    </row>
    <row r="50" spans="1:38" ht="14.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4"/>
      <c r="AC50" s="4"/>
      <c r="AD50" s="4"/>
      <c r="AE50" s="4"/>
      <c r="AF50" s="4"/>
      <c r="AG50" s="4"/>
      <c r="AH50" s="4"/>
      <c r="AI50" s="4"/>
      <c r="AJ50" s="4"/>
      <c r="AK50" s="4"/>
      <c r="AL50" s="4"/>
    </row>
    <row r="51" spans="1:38" ht="14.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4"/>
      <c r="AC51" s="4"/>
      <c r="AD51" s="4"/>
      <c r="AE51" s="4"/>
      <c r="AF51" s="4"/>
      <c r="AG51" s="4"/>
      <c r="AH51" s="4"/>
      <c r="AI51" s="4"/>
      <c r="AJ51" s="4"/>
      <c r="AK51" s="4"/>
      <c r="AL51" s="4"/>
    </row>
    <row r="52" spans="1:38" ht="14.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4"/>
      <c r="AC52" s="4"/>
      <c r="AD52" s="4"/>
      <c r="AE52" s="4"/>
      <c r="AF52" s="4"/>
      <c r="AG52" s="4"/>
      <c r="AH52" s="4"/>
      <c r="AI52" s="4"/>
      <c r="AJ52" s="4"/>
      <c r="AK52" s="4"/>
      <c r="AL52" s="4"/>
    </row>
    <row r="53" spans="1:38" ht="14.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4"/>
      <c r="AC53" s="4"/>
      <c r="AD53" s="4"/>
      <c r="AE53" s="4"/>
      <c r="AF53" s="4"/>
      <c r="AG53" s="4"/>
      <c r="AH53" s="4"/>
      <c r="AI53" s="4"/>
      <c r="AJ53" s="4"/>
      <c r="AK53" s="4"/>
      <c r="AL53" s="4"/>
    </row>
    <row r="54" spans="1:38"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sheetData>
  <sheetProtection password="CC74" sheet="1" objects="1" scenarios="1" selectLockedCells="1"/>
  <mergeCells count="37">
    <mergeCell ref="Y1:AB1"/>
    <mergeCell ref="A1:X1"/>
    <mergeCell ref="X39:AA39"/>
    <mergeCell ref="X34:Y34"/>
    <mergeCell ref="X35:Y35"/>
    <mergeCell ref="X37:AA37"/>
    <mergeCell ref="X28:AB28"/>
    <mergeCell ref="Y33:Z33"/>
    <mergeCell ref="X29:Z29"/>
    <mergeCell ref="U2:V2"/>
    <mergeCell ref="X11:Y11"/>
    <mergeCell ref="X21:Y21"/>
    <mergeCell ref="Y6:Z6"/>
    <mergeCell ref="Y7:Z7"/>
    <mergeCell ref="Y8:Z8"/>
    <mergeCell ref="Y4:Z4"/>
    <mergeCell ref="Y5:Z5"/>
    <mergeCell ref="X2:AB3"/>
    <mergeCell ref="X10:Y10"/>
    <mergeCell ref="A43:G43"/>
    <mergeCell ref="X40:AA40"/>
    <mergeCell ref="A42:G42"/>
    <mergeCell ref="AA43:AB43"/>
    <mergeCell ref="U41:V42"/>
    <mergeCell ref="Y43:Z43"/>
    <mergeCell ref="M43:X43"/>
    <mergeCell ref="Y42:AB42"/>
    <mergeCell ref="A38:L38"/>
    <mergeCell ref="A41:L41"/>
    <mergeCell ref="A39:E39"/>
    <mergeCell ref="A40:E40"/>
    <mergeCell ref="B2:D2"/>
    <mergeCell ref="A37:C37"/>
    <mergeCell ref="E37:F37"/>
    <mergeCell ref="H37:K37"/>
    <mergeCell ref="E2:G2"/>
    <mergeCell ref="H2:L2"/>
  </mergeCells>
  <hyperlinks>
    <hyperlink ref="Y1" r:id="rId1" display="http://www.alfavita.gr/ank_b/proipiresia.xls"/>
  </hyperlinks>
  <printOptions/>
  <pageMargins left="0.25" right="0" top="0.58" bottom="0" header="0.15748031496062992" footer="0.18"/>
  <pageSetup horizontalDpi="600" verticalDpi="600" orientation="landscape" paperSize="9" scale="84" r:id="rId6"/>
  <ignoredErrors>
    <ignoredError sqref="Z20:AB20" evalError="1"/>
  </ignoredErrors>
  <drawing r:id="rId5"/>
  <legacyDrawing r:id="rId4"/>
  <oleObjects>
    <oleObject progId="PBrush" shapeId="88711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user</cp:lastModifiedBy>
  <cp:lastPrinted>2010-05-11T08:14:01Z</cp:lastPrinted>
  <dcterms:created xsi:type="dcterms:W3CDTF">2008-11-02T11:25:39Z</dcterms:created>
  <dcterms:modified xsi:type="dcterms:W3CDTF">2011-08-24T18:39:03Z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